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03"/>
  <workbookPr/>
  <mc:AlternateContent xmlns:mc="http://schemas.openxmlformats.org/markup-compatibility/2006">
    <mc:Choice Requires="x15">
      <x15ac:absPath xmlns:x15ac="http://schemas.microsoft.com/office/spreadsheetml/2010/11/ac" url="E:\环保桥\我的项目\VCS\张掖草原项目\2748-VCS_CCB Zhangye Improved Grassland Management Project\Verra findings\VCS2748-IGM_Zhangye Response to Verra findings R1\PDF\"/>
    </mc:Choice>
  </mc:AlternateContent>
  <xr:revisionPtr revIDLastSave="0" documentId="13_ncr:1_{2B690E18-E702-4089-8164-2E8A94B2B7B9}" xr6:coauthVersionLast="47" xr6:coauthVersionMax="47" xr10:uidLastSave="{00000000-0000-0000-0000-000000000000}"/>
  <bookViews>
    <workbookView xWindow="-110" yWindow="-110" windowWidth="19420" windowHeight="10560" tabRatio="781" firstSheet="5" activeTab="5" xr2:uid="{00000000-000D-0000-FFFF-FFFF00000000}"/>
  </bookViews>
  <sheets>
    <sheet name="ER Calculation" sheetId="18" r:id="rId1"/>
    <sheet name="Baseline Emission" sheetId="2" r:id="rId2"/>
    <sheet name="Project Emission" sheetId="22" r:id="rId3"/>
    <sheet name="Leakage Emission" sheetId="23" r:id="rId4"/>
    <sheet name="Project Removal" sheetId="20" r:id="rId5"/>
    <sheet name="Strata1" sheetId="24" r:id="rId6"/>
    <sheet name="Strata2" sheetId="25" r:id="rId7"/>
    <sheet name="Strata3" sheetId="26" r:id="rId8"/>
    <sheet name="Strata4" sheetId="28" r:id="rId9"/>
    <sheet name="Strata5" sheetId="29" r:id="rId10"/>
    <sheet name="Strata6" sheetId="30" r:id="rId11"/>
    <sheet name="Strata7" sheetId="31" r:id="rId12"/>
    <sheet name="Strata8" sheetId="32" r:id="rId13"/>
    <sheet name="Strata9" sheetId="33" r:id="rId14"/>
    <sheet name="Strata10" sheetId="34" r:id="rId15"/>
    <sheet name="Strata11" sheetId="35" r:id="rId16"/>
    <sheet name="Strata12" sheetId="36" r:id="rId17"/>
    <sheet name="Strata13" sheetId="37" r:id="rId18"/>
    <sheet name="Strata14" sheetId="38" r:id="rId19"/>
    <sheet name="Strata15" sheetId="39" r:id="rId20"/>
    <sheet name="Strata16" sheetId="40" r:id="rId21"/>
    <sheet name="Strata17" sheetId="41" r:id="rId22"/>
    <sheet name="Strata18" sheetId="42" r:id="rId2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" i="20" l="1"/>
  <c r="F13" i="22" l="1"/>
  <c r="G13" i="22"/>
  <c r="H13" i="22"/>
  <c r="I13" i="22"/>
  <c r="E13" i="22"/>
  <c r="D13" i="22"/>
  <c r="E12" i="22"/>
  <c r="F12" i="22"/>
  <c r="G12" i="22"/>
  <c r="H12" i="22"/>
  <c r="I12" i="22"/>
  <c r="D12" i="22"/>
  <c r="F8" i="41"/>
  <c r="H8" i="41" s="1"/>
  <c r="F7" i="41"/>
  <c r="H7" i="41" s="1"/>
  <c r="F6" i="41"/>
  <c r="H6" i="41" s="1"/>
  <c r="F5" i="41"/>
  <c r="H5" i="41" s="1"/>
  <c r="H4" i="41"/>
  <c r="F4" i="41"/>
  <c r="F3" i="41"/>
  <c r="H3" i="41" s="1"/>
  <c r="F8" i="39"/>
  <c r="H8" i="39" s="1"/>
  <c r="H7" i="39"/>
  <c r="F7" i="39"/>
  <c r="H6" i="39"/>
  <c r="F6" i="39"/>
  <c r="F5" i="39"/>
  <c r="H5" i="39" s="1"/>
  <c r="H4" i="39"/>
  <c r="F4" i="39"/>
  <c r="F3" i="39"/>
  <c r="H3" i="39" s="1"/>
  <c r="F8" i="38" l="1"/>
  <c r="H8" i="38" s="1"/>
  <c r="F7" i="38"/>
  <c r="H7" i="38" s="1"/>
  <c r="F6" i="38"/>
  <c r="H6" i="38" s="1"/>
  <c r="F5" i="38"/>
  <c r="H5" i="38" s="1"/>
  <c r="H4" i="38"/>
  <c r="F4" i="38"/>
  <c r="F3" i="38"/>
  <c r="H3" i="38" s="1"/>
  <c r="H5" i="20"/>
  <c r="H6" i="20" s="1"/>
  <c r="H7" i="20" s="1"/>
  <c r="H8" i="20" s="1"/>
  <c r="H9" i="20" s="1"/>
  <c r="H10" i="20" s="1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G5" i="20"/>
  <c r="K7" i="20"/>
  <c r="L7" i="20"/>
  <c r="M7" i="20"/>
  <c r="N7" i="20"/>
  <c r="N8" i="20" s="1"/>
  <c r="O7" i="20"/>
  <c r="R7" i="20"/>
  <c r="T7" i="20"/>
  <c r="K8" i="20"/>
  <c r="K9" i="20" s="1"/>
  <c r="K10" i="20" s="1"/>
  <c r="K11" i="20" s="1"/>
  <c r="K12" i="20" s="1"/>
  <c r="K13" i="20" s="1"/>
  <c r="K14" i="20" s="1"/>
  <c r="K15" i="20" s="1"/>
  <c r="K16" i="20" s="1"/>
  <c r="K17" i="20" s="1"/>
  <c r="K18" i="20" s="1"/>
  <c r="K19" i="20" s="1"/>
  <c r="K20" i="20" s="1"/>
  <c r="K21" i="20" s="1"/>
  <c r="K22" i="20" s="1"/>
  <c r="K23" i="20" s="1"/>
  <c r="K24" i="20" s="1"/>
  <c r="K25" i="20" s="1"/>
  <c r="K26" i="20" s="1"/>
  <c r="K27" i="20" s="1"/>
  <c r="K28" i="20" s="1"/>
  <c r="K29" i="20" s="1"/>
  <c r="K30" i="20" s="1"/>
  <c r="K31" i="20" s="1"/>
  <c r="K32" i="20" s="1"/>
  <c r="K33" i="20" s="1"/>
  <c r="K34" i="20" s="1"/>
  <c r="K35" i="20" s="1"/>
  <c r="K36" i="20" s="1"/>
  <c r="K37" i="20" s="1"/>
  <c r="K38" i="20" s="1"/>
  <c r="K39" i="20" s="1"/>
  <c r="K40" i="20" s="1"/>
  <c r="K41" i="20" s="1"/>
  <c r="K42" i="20" s="1"/>
  <c r="K43" i="20" s="1"/>
  <c r="K44" i="20" s="1"/>
  <c r="L8" i="20"/>
  <c r="M8" i="20"/>
  <c r="O8" i="20"/>
  <c r="R8" i="20"/>
  <c r="T8" i="20"/>
  <c r="M9" i="20"/>
  <c r="M10" i="20" s="1"/>
  <c r="M11" i="20" s="1"/>
  <c r="M12" i="20" s="1"/>
  <c r="M13" i="20" s="1"/>
  <c r="M14" i="20" s="1"/>
  <c r="M15" i="20" s="1"/>
  <c r="M16" i="20" s="1"/>
  <c r="M17" i="20" s="1"/>
  <c r="M18" i="20" s="1"/>
  <c r="M19" i="20" s="1"/>
  <c r="M20" i="20" s="1"/>
  <c r="M21" i="20" s="1"/>
  <c r="M22" i="20" s="1"/>
  <c r="M23" i="20" s="1"/>
  <c r="M24" i="20" s="1"/>
  <c r="M25" i="20" s="1"/>
  <c r="M26" i="20" s="1"/>
  <c r="M27" i="20" s="1"/>
  <c r="M28" i="20" s="1"/>
  <c r="M29" i="20" s="1"/>
  <c r="M30" i="20" s="1"/>
  <c r="M31" i="20" s="1"/>
  <c r="M32" i="20" s="1"/>
  <c r="M33" i="20" s="1"/>
  <c r="M34" i="20" s="1"/>
  <c r="M35" i="20" s="1"/>
  <c r="M36" i="20" s="1"/>
  <c r="M37" i="20" s="1"/>
  <c r="M38" i="20" s="1"/>
  <c r="M39" i="20" s="1"/>
  <c r="M40" i="20" s="1"/>
  <c r="M41" i="20" s="1"/>
  <c r="M42" i="20" s="1"/>
  <c r="M43" i="20" s="1"/>
  <c r="M44" i="20" s="1"/>
  <c r="O9" i="20"/>
  <c r="R9" i="20"/>
  <c r="R10" i="20" s="1"/>
  <c r="R11" i="20" s="1"/>
  <c r="R12" i="20" s="1"/>
  <c r="R13" i="20" s="1"/>
  <c r="R14" i="20" s="1"/>
  <c r="R15" i="20" s="1"/>
  <c r="R16" i="20" s="1"/>
  <c r="R17" i="20" s="1"/>
  <c r="R18" i="20" s="1"/>
  <c r="R19" i="20" s="1"/>
  <c r="R20" i="20" s="1"/>
  <c r="R21" i="20" s="1"/>
  <c r="R22" i="20" s="1"/>
  <c r="R23" i="20" s="1"/>
  <c r="R24" i="20" s="1"/>
  <c r="R25" i="20" s="1"/>
  <c r="R26" i="20" s="1"/>
  <c r="R27" i="20" s="1"/>
  <c r="R28" i="20" s="1"/>
  <c r="R29" i="20" s="1"/>
  <c r="R30" i="20" s="1"/>
  <c r="R31" i="20" s="1"/>
  <c r="R32" i="20" s="1"/>
  <c r="R33" i="20" s="1"/>
  <c r="R34" i="20" s="1"/>
  <c r="R35" i="20" s="1"/>
  <c r="R36" i="20" s="1"/>
  <c r="R37" i="20" s="1"/>
  <c r="R38" i="20" s="1"/>
  <c r="R39" i="20" s="1"/>
  <c r="R40" i="20" s="1"/>
  <c r="R41" i="20" s="1"/>
  <c r="R42" i="20" s="1"/>
  <c r="R43" i="20" s="1"/>
  <c r="R44" i="20" s="1"/>
  <c r="T9" i="20"/>
  <c r="O10" i="20"/>
  <c r="O11" i="20" s="1"/>
  <c r="O12" i="20" s="1"/>
  <c r="O13" i="20" s="1"/>
  <c r="O14" i="20" s="1"/>
  <c r="O15" i="20" s="1"/>
  <c r="O16" i="20" s="1"/>
  <c r="O17" i="20" s="1"/>
  <c r="O18" i="20" s="1"/>
  <c r="O19" i="20" s="1"/>
  <c r="O20" i="20" s="1"/>
  <c r="O21" i="20" s="1"/>
  <c r="O22" i="20" s="1"/>
  <c r="O23" i="20" s="1"/>
  <c r="O24" i="20" s="1"/>
  <c r="O25" i="20" s="1"/>
  <c r="O26" i="20" s="1"/>
  <c r="O27" i="20" s="1"/>
  <c r="O28" i="20" s="1"/>
  <c r="O29" i="20" s="1"/>
  <c r="O30" i="20" s="1"/>
  <c r="O31" i="20" s="1"/>
  <c r="O32" i="20" s="1"/>
  <c r="O33" i="20" s="1"/>
  <c r="O34" i="20" s="1"/>
  <c r="O35" i="20" s="1"/>
  <c r="O36" i="20" s="1"/>
  <c r="O37" i="20" s="1"/>
  <c r="O38" i="20" s="1"/>
  <c r="O39" i="20" s="1"/>
  <c r="O40" i="20" s="1"/>
  <c r="O41" i="20" s="1"/>
  <c r="O42" i="20" s="1"/>
  <c r="O43" i="20" s="1"/>
  <c r="O44" i="20" s="1"/>
  <c r="T10" i="20"/>
  <c r="T11" i="20" s="1"/>
  <c r="T12" i="20" s="1"/>
  <c r="T13" i="20" s="1"/>
  <c r="T14" i="20" s="1"/>
  <c r="T15" i="20" s="1"/>
  <c r="T16" i="20" s="1"/>
  <c r="T17" i="20" s="1"/>
  <c r="T18" i="20" s="1"/>
  <c r="T19" i="20" s="1"/>
  <c r="T20" i="20" s="1"/>
  <c r="T21" i="20" s="1"/>
  <c r="T22" i="20" s="1"/>
  <c r="T23" i="20" s="1"/>
  <c r="T24" i="20" s="1"/>
  <c r="T25" i="20" s="1"/>
  <c r="T26" i="20" s="1"/>
  <c r="T27" i="20" s="1"/>
  <c r="T28" i="20" s="1"/>
  <c r="T29" i="20" s="1"/>
  <c r="T30" i="20" s="1"/>
  <c r="T31" i="20" s="1"/>
  <c r="T32" i="20" s="1"/>
  <c r="T33" i="20" s="1"/>
  <c r="T34" i="20" s="1"/>
  <c r="T35" i="20" s="1"/>
  <c r="T36" i="20" s="1"/>
  <c r="T37" i="20" s="1"/>
  <c r="T38" i="20" s="1"/>
  <c r="T39" i="20" s="1"/>
  <c r="T40" i="20" s="1"/>
  <c r="T41" i="20" s="1"/>
  <c r="T42" i="20" s="1"/>
  <c r="T43" i="20" s="1"/>
  <c r="T44" i="20" s="1"/>
  <c r="L6" i="20"/>
  <c r="M6" i="20"/>
  <c r="N6" i="20"/>
  <c r="O6" i="20"/>
  <c r="R6" i="20"/>
  <c r="T6" i="20"/>
  <c r="K6" i="20"/>
  <c r="J7" i="20"/>
  <c r="J8" i="20"/>
  <c r="J9" i="20"/>
  <c r="J10" i="20"/>
  <c r="J11" i="20" s="1"/>
  <c r="J12" i="20" s="1"/>
  <c r="J13" i="20" s="1"/>
  <c r="J14" i="20" s="1"/>
  <c r="J15" i="20" s="1"/>
  <c r="J16" i="20" s="1"/>
  <c r="J17" i="20" s="1"/>
  <c r="J18" i="20" s="1"/>
  <c r="J19" i="20" s="1"/>
  <c r="J20" i="20" s="1"/>
  <c r="J21" i="20" s="1"/>
  <c r="J22" i="20" s="1"/>
  <c r="J23" i="20" s="1"/>
  <c r="J24" i="20" s="1"/>
  <c r="J25" i="20" s="1"/>
  <c r="J26" i="20" s="1"/>
  <c r="J27" i="20" s="1"/>
  <c r="J28" i="20" s="1"/>
  <c r="J29" i="20" s="1"/>
  <c r="J30" i="20" s="1"/>
  <c r="J31" i="20" s="1"/>
  <c r="J32" i="20" s="1"/>
  <c r="J33" i="20" s="1"/>
  <c r="J34" i="20" s="1"/>
  <c r="J35" i="20" s="1"/>
  <c r="J36" i="20" s="1"/>
  <c r="J37" i="20" s="1"/>
  <c r="J38" i="20" s="1"/>
  <c r="J39" i="20" s="1"/>
  <c r="J40" i="20" s="1"/>
  <c r="J41" i="20" s="1"/>
  <c r="J42" i="20" s="1"/>
  <c r="J43" i="20" s="1"/>
  <c r="J44" i="20" s="1"/>
  <c r="J6" i="20"/>
  <c r="I7" i="20"/>
  <c r="I8" i="20"/>
  <c r="I9" i="20" s="1"/>
  <c r="I10" i="20" s="1"/>
  <c r="I11" i="20" s="1"/>
  <c r="I12" i="20" s="1"/>
  <c r="I13" i="20" s="1"/>
  <c r="I14" i="20" s="1"/>
  <c r="I15" i="20" s="1"/>
  <c r="I16" i="20" s="1"/>
  <c r="I17" i="20" s="1"/>
  <c r="I18" i="20" s="1"/>
  <c r="I19" i="20" s="1"/>
  <c r="I20" i="20" s="1"/>
  <c r="I21" i="20" s="1"/>
  <c r="I22" i="20" s="1"/>
  <c r="I23" i="20" s="1"/>
  <c r="I24" i="20" s="1"/>
  <c r="I25" i="20" s="1"/>
  <c r="I26" i="20" s="1"/>
  <c r="I27" i="20" s="1"/>
  <c r="I28" i="20" s="1"/>
  <c r="I29" i="20" s="1"/>
  <c r="I30" i="20" s="1"/>
  <c r="I31" i="20" s="1"/>
  <c r="I32" i="20" s="1"/>
  <c r="I33" i="20" s="1"/>
  <c r="I34" i="20" s="1"/>
  <c r="I35" i="20" s="1"/>
  <c r="I36" i="20" s="1"/>
  <c r="I37" i="20" s="1"/>
  <c r="I38" i="20" s="1"/>
  <c r="I39" i="20" s="1"/>
  <c r="I40" i="20" s="1"/>
  <c r="I41" i="20" s="1"/>
  <c r="I42" i="20" s="1"/>
  <c r="I43" i="20" s="1"/>
  <c r="I44" i="20" s="1"/>
  <c r="I6" i="20"/>
  <c r="F7" i="20"/>
  <c r="F8" i="20" s="1"/>
  <c r="F9" i="20" s="1"/>
  <c r="F10" i="20" s="1"/>
  <c r="F11" i="20" s="1"/>
  <c r="F12" i="20" s="1"/>
  <c r="F13" i="20" s="1"/>
  <c r="F14" i="20" s="1"/>
  <c r="F15" i="20" s="1"/>
  <c r="F16" i="20" s="1"/>
  <c r="F17" i="20" s="1"/>
  <c r="F18" i="20" s="1"/>
  <c r="F19" i="20" s="1"/>
  <c r="F20" i="20" s="1"/>
  <c r="F21" i="20" s="1"/>
  <c r="F22" i="20" s="1"/>
  <c r="F23" i="20" s="1"/>
  <c r="F24" i="20" s="1"/>
  <c r="F25" i="20" s="1"/>
  <c r="F26" i="20" s="1"/>
  <c r="F27" i="20" s="1"/>
  <c r="F28" i="20" s="1"/>
  <c r="F29" i="20" s="1"/>
  <c r="F30" i="20" s="1"/>
  <c r="F31" i="20" s="1"/>
  <c r="F32" i="20" s="1"/>
  <c r="F33" i="20" s="1"/>
  <c r="F34" i="20" s="1"/>
  <c r="F35" i="20" s="1"/>
  <c r="F36" i="20" s="1"/>
  <c r="F37" i="20" s="1"/>
  <c r="F38" i="20" s="1"/>
  <c r="F39" i="20" s="1"/>
  <c r="F40" i="20" s="1"/>
  <c r="F41" i="20" s="1"/>
  <c r="F42" i="20" s="1"/>
  <c r="F43" i="20" s="1"/>
  <c r="F44" i="20" s="1"/>
  <c r="G6" i="20"/>
  <c r="T5" i="20"/>
  <c r="R5" i="20"/>
  <c r="O5" i="20"/>
  <c r="N5" i="20"/>
  <c r="M5" i="20"/>
  <c r="L5" i="20"/>
  <c r="K5" i="20"/>
  <c r="J5" i="20"/>
  <c r="I5" i="20"/>
  <c r="F6" i="20"/>
  <c r="E5" i="20"/>
  <c r="F5" i="20"/>
  <c r="D9" i="20"/>
  <c r="D5" i="20"/>
  <c r="F8" i="25"/>
  <c r="H8" i="25" s="1"/>
  <c r="F7" i="25"/>
  <c r="H7" i="25" s="1"/>
  <c r="F6" i="25"/>
  <c r="H6" i="25" s="1"/>
  <c r="F5" i="25"/>
  <c r="H5" i="25" s="1"/>
  <c r="F4" i="25"/>
  <c r="H4" i="25" s="1"/>
  <c r="F3" i="25"/>
  <c r="H3" i="25" s="1"/>
  <c r="C5" i="20"/>
  <c r="C6" i="20" s="1"/>
  <c r="H10" i="24"/>
  <c r="F8" i="42"/>
  <c r="H8" i="42" s="1"/>
  <c r="F7" i="42"/>
  <c r="H7" i="42" s="1"/>
  <c r="F6" i="42"/>
  <c r="H6" i="42" s="1"/>
  <c r="F5" i="42"/>
  <c r="H5" i="42" s="1"/>
  <c r="F4" i="42"/>
  <c r="H4" i="42" s="1"/>
  <c r="H3" i="42"/>
  <c r="F3" i="42"/>
  <c r="F8" i="40"/>
  <c r="H8" i="40" s="1"/>
  <c r="F7" i="40"/>
  <c r="H7" i="40" s="1"/>
  <c r="F6" i="40"/>
  <c r="H6" i="40" s="1"/>
  <c r="F5" i="40"/>
  <c r="H5" i="40" s="1"/>
  <c r="F4" i="40"/>
  <c r="H4" i="40" s="1"/>
  <c r="F3" i="40"/>
  <c r="H3" i="40" s="1"/>
  <c r="F8" i="37"/>
  <c r="H8" i="37" s="1"/>
  <c r="F7" i="37"/>
  <c r="H7" i="37" s="1"/>
  <c r="H6" i="37"/>
  <c r="F6" i="37"/>
  <c r="F5" i="37"/>
  <c r="H5" i="37" s="1"/>
  <c r="F4" i="37"/>
  <c r="H4" i="37" s="1"/>
  <c r="F3" i="37"/>
  <c r="H3" i="37" s="1"/>
  <c r="F11" i="36"/>
  <c r="H11" i="36" s="1"/>
  <c r="F10" i="36"/>
  <c r="H10" i="36" s="1"/>
  <c r="F9" i="36"/>
  <c r="H9" i="36" s="1"/>
  <c r="F8" i="36"/>
  <c r="H8" i="36" s="1"/>
  <c r="F7" i="36"/>
  <c r="H7" i="36" s="1"/>
  <c r="F6" i="36"/>
  <c r="H6" i="36" s="1"/>
  <c r="F5" i="36"/>
  <c r="H5" i="36" s="1"/>
  <c r="F4" i="36"/>
  <c r="H4" i="36" s="1"/>
  <c r="F3" i="36"/>
  <c r="H3" i="36" s="1"/>
  <c r="F8" i="35"/>
  <c r="H8" i="35" s="1"/>
  <c r="F7" i="35"/>
  <c r="H7" i="35" s="1"/>
  <c r="F6" i="35"/>
  <c r="H6" i="35" s="1"/>
  <c r="H5" i="35"/>
  <c r="F5" i="35"/>
  <c r="F4" i="35"/>
  <c r="H4" i="35" s="1"/>
  <c r="F3" i="35"/>
  <c r="H3" i="35" s="1"/>
  <c r="H9" i="35" s="1"/>
  <c r="F11" i="34"/>
  <c r="H11" i="34" s="1"/>
  <c r="F10" i="34"/>
  <c r="H10" i="34" s="1"/>
  <c r="H9" i="34"/>
  <c r="F9" i="34"/>
  <c r="F8" i="34"/>
  <c r="H8" i="34" s="1"/>
  <c r="H7" i="34"/>
  <c r="F7" i="34"/>
  <c r="F6" i="34"/>
  <c r="H6" i="34" s="1"/>
  <c r="F5" i="34"/>
  <c r="H5" i="34" s="1"/>
  <c r="F4" i="34"/>
  <c r="H4" i="34" s="1"/>
  <c r="H3" i="34"/>
  <c r="F3" i="34"/>
  <c r="F8" i="33"/>
  <c r="H8" i="33" s="1"/>
  <c r="F7" i="33"/>
  <c r="H7" i="33" s="1"/>
  <c r="F6" i="33"/>
  <c r="H6" i="33" s="1"/>
  <c r="F5" i="33"/>
  <c r="H5" i="33" s="1"/>
  <c r="F4" i="33"/>
  <c r="H4" i="33" s="1"/>
  <c r="F3" i="33"/>
  <c r="H3" i="33" s="1"/>
  <c r="H12" i="32"/>
  <c r="F11" i="32"/>
  <c r="H11" i="32" s="1"/>
  <c r="F10" i="32"/>
  <c r="H10" i="32" s="1"/>
  <c r="F9" i="32"/>
  <c r="H9" i="32" s="1"/>
  <c r="F8" i="32"/>
  <c r="H8" i="32" s="1"/>
  <c r="F7" i="32"/>
  <c r="H7" i="32" s="1"/>
  <c r="F6" i="32"/>
  <c r="H6" i="32" s="1"/>
  <c r="F5" i="32"/>
  <c r="H5" i="32" s="1"/>
  <c r="F4" i="32"/>
  <c r="H4" i="32" s="1"/>
  <c r="F3" i="32"/>
  <c r="H3" i="32" s="1"/>
  <c r="H8" i="31"/>
  <c r="F8" i="31"/>
  <c r="F7" i="31"/>
  <c r="H7" i="31" s="1"/>
  <c r="F6" i="31"/>
  <c r="H6" i="31" s="1"/>
  <c r="F5" i="31"/>
  <c r="H5" i="31" s="1"/>
  <c r="F4" i="31"/>
  <c r="H4" i="31" s="1"/>
  <c r="F3" i="31"/>
  <c r="H3" i="31" s="1"/>
  <c r="F8" i="30"/>
  <c r="H8" i="30" s="1"/>
  <c r="F7" i="30"/>
  <c r="H7" i="30" s="1"/>
  <c r="F6" i="30"/>
  <c r="H6" i="30" s="1"/>
  <c r="F5" i="30"/>
  <c r="H5" i="30" s="1"/>
  <c r="F4" i="30"/>
  <c r="H4" i="30" s="1"/>
  <c r="F3" i="30"/>
  <c r="H3" i="30" s="1"/>
  <c r="F8" i="29"/>
  <c r="H8" i="29" s="1"/>
  <c r="F7" i="29"/>
  <c r="H7" i="29" s="1"/>
  <c r="F6" i="29"/>
  <c r="H6" i="29" s="1"/>
  <c r="F5" i="29"/>
  <c r="H5" i="29" s="1"/>
  <c r="F4" i="29"/>
  <c r="H4" i="29" s="1"/>
  <c r="F3" i="29"/>
  <c r="H3" i="29" s="1"/>
  <c r="H8" i="28"/>
  <c r="F8" i="28"/>
  <c r="H7" i="28"/>
  <c r="F7" i="28"/>
  <c r="H6" i="28"/>
  <c r="F6" i="28"/>
  <c r="H5" i="28"/>
  <c r="F5" i="28"/>
  <c r="F4" i="28"/>
  <c r="H4" i="28" s="1"/>
  <c r="H3" i="28"/>
  <c r="H9" i="28" s="1"/>
  <c r="F3" i="28"/>
  <c r="F8" i="26"/>
  <c r="H8" i="26" s="1"/>
  <c r="F7" i="26"/>
  <c r="H7" i="26" s="1"/>
  <c r="F6" i="26"/>
  <c r="H6" i="26" s="1"/>
  <c r="F5" i="26"/>
  <c r="H5" i="26" s="1"/>
  <c r="F4" i="26"/>
  <c r="H4" i="26" s="1"/>
  <c r="F3" i="26"/>
  <c r="H3" i="26" s="1"/>
  <c r="F3" i="24"/>
  <c r="H3" i="24" s="1"/>
  <c r="F4" i="24"/>
  <c r="H4" i="24" s="1"/>
  <c r="F5" i="24"/>
  <c r="H5" i="24" s="1"/>
  <c r="F6" i="24"/>
  <c r="H6" i="24"/>
  <c r="F7" i="24"/>
  <c r="H7" i="24" s="1"/>
  <c r="F8" i="24"/>
  <c r="H8" i="24" s="1"/>
  <c r="G7" i="20" l="1"/>
  <c r="L45" i="20"/>
  <c r="N9" i="20"/>
  <c r="N10" i="20" s="1"/>
  <c r="N11" i="20" s="1"/>
  <c r="N12" i="20" s="1"/>
  <c r="N13" i="20" s="1"/>
  <c r="N14" i="20" s="1"/>
  <c r="N15" i="20" s="1"/>
  <c r="N16" i="20" s="1"/>
  <c r="N17" i="20" s="1"/>
  <c r="N18" i="20" s="1"/>
  <c r="N19" i="20" s="1"/>
  <c r="N20" i="20" s="1"/>
  <c r="N21" i="20" s="1"/>
  <c r="N22" i="20" s="1"/>
  <c r="N23" i="20" s="1"/>
  <c r="N24" i="20" s="1"/>
  <c r="N25" i="20" s="1"/>
  <c r="N26" i="20" s="1"/>
  <c r="N27" i="20" s="1"/>
  <c r="N28" i="20" s="1"/>
  <c r="N29" i="20" s="1"/>
  <c r="N30" i="20" s="1"/>
  <c r="N31" i="20" s="1"/>
  <c r="N32" i="20" s="1"/>
  <c r="N33" i="20" s="1"/>
  <c r="N34" i="20" s="1"/>
  <c r="N35" i="20" s="1"/>
  <c r="N36" i="20" s="1"/>
  <c r="N37" i="20" s="1"/>
  <c r="N38" i="20" s="1"/>
  <c r="N39" i="20" s="1"/>
  <c r="N40" i="20" s="1"/>
  <c r="N41" i="20" s="1"/>
  <c r="N42" i="20" s="1"/>
  <c r="N43" i="20" s="1"/>
  <c r="N44" i="20" s="1"/>
  <c r="O45" i="20"/>
  <c r="L9" i="20"/>
  <c r="L10" i="20" s="1"/>
  <c r="L11" i="20" s="1"/>
  <c r="L12" i="20" s="1"/>
  <c r="L13" i="20" s="1"/>
  <c r="L14" i="20" s="1"/>
  <c r="L15" i="20" s="1"/>
  <c r="L16" i="20" s="1"/>
  <c r="L17" i="20" s="1"/>
  <c r="L18" i="20" s="1"/>
  <c r="L19" i="20" s="1"/>
  <c r="L20" i="20" s="1"/>
  <c r="L21" i="20" s="1"/>
  <c r="L22" i="20" s="1"/>
  <c r="L23" i="20" s="1"/>
  <c r="L24" i="20" s="1"/>
  <c r="L25" i="20" s="1"/>
  <c r="L26" i="20" s="1"/>
  <c r="L27" i="20" s="1"/>
  <c r="L28" i="20" s="1"/>
  <c r="L29" i="20" s="1"/>
  <c r="L30" i="20" s="1"/>
  <c r="L31" i="20" s="1"/>
  <c r="L32" i="20" s="1"/>
  <c r="L33" i="20" s="1"/>
  <c r="L34" i="20" s="1"/>
  <c r="L35" i="20" s="1"/>
  <c r="L36" i="20" s="1"/>
  <c r="L37" i="20" s="1"/>
  <c r="L38" i="20" s="1"/>
  <c r="L39" i="20" s="1"/>
  <c r="L40" i="20" s="1"/>
  <c r="L41" i="20" s="1"/>
  <c r="L42" i="20" s="1"/>
  <c r="L43" i="20" s="1"/>
  <c r="L44" i="20" s="1"/>
  <c r="R45" i="20"/>
  <c r="M45" i="20"/>
  <c r="T45" i="20"/>
  <c r="K45" i="20"/>
  <c r="J45" i="20"/>
  <c r="I45" i="20"/>
  <c r="H45" i="20"/>
  <c r="F45" i="20"/>
  <c r="H12" i="25"/>
  <c r="H11" i="25"/>
  <c r="H10" i="25"/>
  <c r="H9" i="25"/>
  <c r="H12" i="42"/>
  <c r="H9" i="42"/>
  <c r="H11" i="42"/>
  <c r="H10" i="42"/>
  <c r="H12" i="41"/>
  <c r="S5" i="20" s="1"/>
  <c r="S6" i="20" s="1"/>
  <c r="S7" i="20" s="1"/>
  <c r="S8" i="20" s="1"/>
  <c r="S9" i="20" s="1"/>
  <c r="S10" i="20" s="1"/>
  <c r="S11" i="20" s="1"/>
  <c r="S12" i="20" s="1"/>
  <c r="S13" i="20" s="1"/>
  <c r="S14" i="20" s="1"/>
  <c r="S15" i="20" s="1"/>
  <c r="S16" i="20" s="1"/>
  <c r="S17" i="20" s="1"/>
  <c r="S18" i="20" s="1"/>
  <c r="S19" i="20" s="1"/>
  <c r="S20" i="20" s="1"/>
  <c r="S21" i="20" s="1"/>
  <c r="S22" i="20" s="1"/>
  <c r="S23" i="20" s="1"/>
  <c r="S24" i="20" s="1"/>
  <c r="S25" i="20" s="1"/>
  <c r="S26" i="20" s="1"/>
  <c r="S27" i="20" s="1"/>
  <c r="S28" i="20" s="1"/>
  <c r="S29" i="20" s="1"/>
  <c r="S30" i="20" s="1"/>
  <c r="S31" i="20" s="1"/>
  <c r="S32" i="20" s="1"/>
  <c r="S33" i="20" s="1"/>
  <c r="S34" i="20" s="1"/>
  <c r="S35" i="20" s="1"/>
  <c r="S36" i="20" s="1"/>
  <c r="S37" i="20" s="1"/>
  <c r="S38" i="20" s="1"/>
  <c r="S39" i="20" s="1"/>
  <c r="S40" i="20" s="1"/>
  <c r="S41" i="20" s="1"/>
  <c r="S42" i="20" s="1"/>
  <c r="S43" i="20" s="1"/>
  <c r="S44" i="20" s="1"/>
  <c r="H11" i="41"/>
  <c r="H10" i="41"/>
  <c r="H9" i="41"/>
  <c r="H12" i="40"/>
  <c r="H11" i="40"/>
  <c r="H10" i="40"/>
  <c r="H9" i="40"/>
  <c r="H12" i="39"/>
  <c r="Q6" i="20" s="1"/>
  <c r="Q7" i="20" s="1"/>
  <c r="Q8" i="20" s="1"/>
  <c r="Q9" i="20" s="1"/>
  <c r="Q10" i="20" s="1"/>
  <c r="Q11" i="20" s="1"/>
  <c r="Q12" i="20" s="1"/>
  <c r="Q13" i="20" s="1"/>
  <c r="Q14" i="20" s="1"/>
  <c r="Q15" i="20" s="1"/>
  <c r="Q16" i="20" s="1"/>
  <c r="Q17" i="20" s="1"/>
  <c r="Q18" i="20" s="1"/>
  <c r="Q19" i="20" s="1"/>
  <c r="Q20" i="20" s="1"/>
  <c r="Q21" i="20" s="1"/>
  <c r="Q22" i="20" s="1"/>
  <c r="Q23" i="20" s="1"/>
  <c r="Q24" i="20" s="1"/>
  <c r="Q25" i="20" s="1"/>
  <c r="Q26" i="20" s="1"/>
  <c r="Q27" i="20" s="1"/>
  <c r="Q28" i="20" s="1"/>
  <c r="Q29" i="20" s="1"/>
  <c r="Q30" i="20" s="1"/>
  <c r="Q31" i="20" s="1"/>
  <c r="Q32" i="20" s="1"/>
  <c r="Q33" i="20" s="1"/>
  <c r="Q34" i="20" s="1"/>
  <c r="Q35" i="20" s="1"/>
  <c r="Q36" i="20" s="1"/>
  <c r="Q37" i="20" s="1"/>
  <c r="Q38" i="20" s="1"/>
  <c r="Q39" i="20" s="1"/>
  <c r="Q40" i="20" s="1"/>
  <c r="Q41" i="20" s="1"/>
  <c r="Q42" i="20" s="1"/>
  <c r="Q43" i="20" s="1"/>
  <c r="Q44" i="20" s="1"/>
  <c r="H11" i="39"/>
  <c r="H10" i="39"/>
  <c r="H9" i="39"/>
  <c r="H12" i="38"/>
  <c r="P5" i="20" s="1"/>
  <c r="H11" i="38"/>
  <c r="H9" i="38"/>
  <c r="H10" i="38"/>
  <c r="H12" i="37"/>
  <c r="H9" i="37"/>
  <c r="H10" i="37"/>
  <c r="H11" i="37"/>
  <c r="H15" i="36"/>
  <c r="H12" i="36"/>
  <c r="H14" i="36"/>
  <c r="H13" i="36"/>
  <c r="H12" i="35"/>
  <c r="H10" i="35"/>
  <c r="H11" i="35"/>
  <c r="H15" i="34"/>
  <c r="H13" i="34"/>
  <c r="H12" i="34"/>
  <c r="H14" i="34"/>
  <c r="H12" i="33"/>
  <c r="H11" i="33"/>
  <c r="H10" i="33"/>
  <c r="H9" i="33"/>
  <c r="H15" i="32"/>
  <c r="H14" i="32"/>
  <c r="H13" i="32"/>
  <c r="H12" i="31"/>
  <c r="H11" i="31"/>
  <c r="H10" i="31"/>
  <c r="H9" i="31"/>
  <c r="H12" i="30"/>
  <c r="H11" i="30"/>
  <c r="H10" i="30"/>
  <c r="H9" i="30"/>
  <c r="H12" i="29"/>
  <c r="H11" i="29"/>
  <c r="H10" i="29"/>
  <c r="H9" i="29"/>
  <c r="H12" i="28"/>
  <c r="H11" i="28"/>
  <c r="H10" i="28"/>
  <c r="S45" i="20" l="1"/>
  <c r="U5" i="20"/>
  <c r="Q45" i="20"/>
  <c r="P6" i="20"/>
  <c r="G8" i="20"/>
  <c r="N45" i="20"/>
  <c r="E35" i="23"/>
  <c r="F35" i="23"/>
  <c r="G35" i="23"/>
  <c r="H35" i="23"/>
  <c r="D35" i="23"/>
  <c r="I35" i="23" l="1"/>
  <c r="P7" i="20"/>
  <c r="U6" i="20"/>
  <c r="G9" i="20"/>
  <c r="I80" i="23"/>
  <c r="P9" i="23" s="1"/>
  <c r="I71" i="23"/>
  <c r="I72" i="23"/>
  <c r="I44" i="23"/>
  <c r="N9" i="23" s="1"/>
  <c r="Q18" i="22"/>
  <c r="Q19" i="22"/>
  <c r="Q20" i="22"/>
  <c r="Q21" i="22"/>
  <c r="I79" i="22"/>
  <c r="Q13" i="22" s="1"/>
  <c r="I62" i="22"/>
  <c r="I63" i="22"/>
  <c r="I71" i="22"/>
  <c r="P21" i="22" s="1"/>
  <c r="I35" i="22"/>
  <c r="N9" i="22" s="1"/>
  <c r="D44" i="23"/>
  <c r="N4" i="23" s="1"/>
  <c r="H80" i="23"/>
  <c r="P8" i="23" s="1"/>
  <c r="G80" i="23"/>
  <c r="P7" i="23" s="1"/>
  <c r="F80" i="23"/>
  <c r="P6" i="23" s="1"/>
  <c r="E80" i="23"/>
  <c r="P5" i="23" s="1"/>
  <c r="D80" i="23"/>
  <c r="P4" i="23" s="1"/>
  <c r="H72" i="23"/>
  <c r="G72" i="23"/>
  <c r="F72" i="23"/>
  <c r="E72" i="23"/>
  <c r="D72" i="23"/>
  <c r="H71" i="23"/>
  <c r="G71" i="23"/>
  <c r="F71" i="23"/>
  <c r="E71" i="23"/>
  <c r="D71" i="23"/>
  <c r="H44" i="23"/>
  <c r="G44" i="23"/>
  <c r="N7" i="23" s="1"/>
  <c r="F44" i="23"/>
  <c r="N6" i="23" s="1"/>
  <c r="E44" i="23"/>
  <c r="N5" i="23" s="1"/>
  <c r="E79" i="22"/>
  <c r="Q5" i="22" s="1"/>
  <c r="F79" i="22"/>
  <c r="Q6" i="22" s="1"/>
  <c r="G79" i="22"/>
  <c r="Q7" i="22" s="1"/>
  <c r="H79" i="22"/>
  <c r="Q8" i="22" s="1"/>
  <c r="D79" i="22"/>
  <c r="Q4" i="22" s="1"/>
  <c r="H35" i="22"/>
  <c r="G35" i="22"/>
  <c r="N7" i="22" s="1"/>
  <c r="F35" i="22"/>
  <c r="N6" i="22" s="1"/>
  <c r="E35" i="22"/>
  <c r="N5" i="22" s="1"/>
  <c r="D30" i="2"/>
  <c r="E71" i="22"/>
  <c r="P5" i="22" s="1"/>
  <c r="F71" i="22"/>
  <c r="P6" i="22" s="1"/>
  <c r="G71" i="22"/>
  <c r="P7" i="22" s="1"/>
  <c r="E63" i="22"/>
  <c r="F63" i="22"/>
  <c r="G63" i="22"/>
  <c r="E62" i="22"/>
  <c r="F62" i="22"/>
  <c r="G62" i="22"/>
  <c r="H71" i="22"/>
  <c r="P8" i="22" s="1"/>
  <c r="H63" i="22"/>
  <c r="H62" i="22"/>
  <c r="D56" i="2"/>
  <c r="D63" i="2"/>
  <c r="P8" i="20" l="1"/>
  <c r="U7" i="20"/>
  <c r="G10" i="20"/>
  <c r="Q12" i="22"/>
  <c r="Q9" i="22"/>
  <c r="Q43" i="22"/>
  <c r="Q41" i="22"/>
  <c r="Q40" i="22"/>
  <c r="Q10" i="22"/>
  <c r="Q39" i="22"/>
  <c r="Q42" i="22"/>
  <c r="Q38" i="22"/>
  <c r="Q11" i="22"/>
  <c r="Q37" i="22"/>
  <c r="Q36" i="22"/>
  <c r="Q23" i="22"/>
  <c r="Q22" i="22"/>
  <c r="N22" i="23"/>
  <c r="P20" i="23"/>
  <c r="P21" i="23"/>
  <c r="N15" i="23"/>
  <c r="P36" i="23"/>
  <c r="N41" i="23"/>
  <c r="N14" i="23"/>
  <c r="N38" i="23"/>
  <c r="P10" i="23"/>
  <c r="N32" i="23"/>
  <c r="P13" i="23"/>
  <c r="P31" i="23"/>
  <c r="N31" i="23"/>
  <c r="P37" i="23"/>
  <c r="P30" i="23"/>
  <c r="N21" i="23"/>
  <c r="P14" i="23"/>
  <c r="P29" i="23"/>
  <c r="P40" i="23"/>
  <c r="P24" i="23"/>
  <c r="N43" i="23"/>
  <c r="P35" i="23"/>
  <c r="N19" i="23"/>
  <c r="I56" i="23"/>
  <c r="O34" i="23" s="1"/>
  <c r="N26" i="23"/>
  <c r="P42" i="23"/>
  <c r="N27" i="23"/>
  <c r="P16" i="23"/>
  <c r="N10" i="23"/>
  <c r="P27" i="23"/>
  <c r="N35" i="23"/>
  <c r="P25" i="23"/>
  <c r="N30" i="23"/>
  <c r="P19" i="23"/>
  <c r="N36" i="23"/>
  <c r="N42" i="23"/>
  <c r="P32" i="23"/>
  <c r="N16" i="23"/>
  <c r="N11" i="23"/>
  <c r="N37" i="23"/>
  <c r="N20" i="23"/>
  <c r="P41" i="23"/>
  <c r="N25" i="23"/>
  <c r="P15" i="23"/>
  <c r="Q35" i="22"/>
  <c r="Q34" i="22"/>
  <c r="Q28" i="22"/>
  <c r="Q27" i="22"/>
  <c r="Q26" i="22"/>
  <c r="Q25" i="22"/>
  <c r="Q24" i="22"/>
  <c r="N40" i="23"/>
  <c r="P34" i="23"/>
  <c r="N24" i="23"/>
  <c r="P18" i="23"/>
  <c r="P39" i="23"/>
  <c r="N29" i="23"/>
  <c r="P23" i="23"/>
  <c r="N13" i="23"/>
  <c r="N34" i="23"/>
  <c r="P28" i="23"/>
  <c r="N18" i="23"/>
  <c r="P12" i="23"/>
  <c r="N39" i="23"/>
  <c r="P33" i="23"/>
  <c r="N23" i="23"/>
  <c r="P17" i="23"/>
  <c r="P38" i="23"/>
  <c r="N28" i="23"/>
  <c r="P22" i="23"/>
  <c r="N12" i="23"/>
  <c r="P43" i="23"/>
  <c r="N33" i="23"/>
  <c r="P26" i="23"/>
  <c r="N17" i="23"/>
  <c r="P11" i="23"/>
  <c r="Q33" i="22"/>
  <c r="Q17" i="22"/>
  <c r="Q32" i="22"/>
  <c r="Q16" i="22"/>
  <c r="Q31" i="22"/>
  <c r="Q15" i="22"/>
  <c r="Q30" i="22"/>
  <c r="Q14" i="22"/>
  <c r="Q29" i="22"/>
  <c r="H12" i="24"/>
  <c r="H12" i="26"/>
  <c r="H9" i="26"/>
  <c r="H10" i="26"/>
  <c r="H11" i="26"/>
  <c r="H9" i="24"/>
  <c r="H11" i="24"/>
  <c r="N20" i="22"/>
  <c r="N29" i="22"/>
  <c r="I47" i="22"/>
  <c r="O16" i="22" s="1"/>
  <c r="N41" i="22"/>
  <c r="N40" i="22"/>
  <c r="N17" i="22"/>
  <c r="N16" i="22"/>
  <c r="N37" i="22"/>
  <c r="N13" i="22"/>
  <c r="N33" i="22"/>
  <c r="N12" i="22"/>
  <c r="N36" i="22"/>
  <c r="N25" i="22"/>
  <c r="N24" i="22"/>
  <c r="N28" i="22"/>
  <c r="N32" i="22"/>
  <c r="N21" i="22"/>
  <c r="P37" i="22"/>
  <c r="P13" i="22"/>
  <c r="P16" i="22"/>
  <c r="P39" i="22"/>
  <c r="P23" i="22"/>
  <c r="N43" i="22"/>
  <c r="N39" i="22"/>
  <c r="N35" i="22"/>
  <c r="N31" i="22"/>
  <c r="N27" i="22"/>
  <c r="N23" i="22"/>
  <c r="N19" i="22"/>
  <c r="N11" i="22"/>
  <c r="P41" i="22"/>
  <c r="P25" i="22"/>
  <c r="P20" i="22"/>
  <c r="P35" i="22"/>
  <c r="P19" i="22"/>
  <c r="N15" i="22"/>
  <c r="P29" i="22"/>
  <c r="P40" i="22"/>
  <c r="P28" i="22"/>
  <c r="P27" i="22"/>
  <c r="P42" i="22"/>
  <c r="P38" i="22"/>
  <c r="P34" i="22"/>
  <c r="P30" i="22"/>
  <c r="P26" i="22"/>
  <c r="P22" i="22"/>
  <c r="P18" i="22"/>
  <c r="P14" i="22"/>
  <c r="P10" i="22"/>
  <c r="P36" i="22"/>
  <c r="P24" i="22"/>
  <c r="P9" i="22"/>
  <c r="P43" i="22"/>
  <c r="P15" i="22"/>
  <c r="P33" i="22"/>
  <c r="P17" i="22"/>
  <c r="P32" i="22"/>
  <c r="P12" i="22"/>
  <c r="P31" i="22"/>
  <c r="P11" i="22"/>
  <c r="N42" i="22"/>
  <c r="N38" i="22"/>
  <c r="N34" i="22"/>
  <c r="N30" i="22"/>
  <c r="N26" i="22"/>
  <c r="N22" i="22"/>
  <c r="N18" i="22"/>
  <c r="N14" i="22"/>
  <c r="N10" i="22"/>
  <c r="N8" i="22"/>
  <c r="D62" i="22"/>
  <c r="D63" i="22"/>
  <c r="D71" i="22"/>
  <c r="P4" i="22" s="1"/>
  <c r="D35" i="22"/>
  <c r="N4" i="22" s="1"/>
  <c r="F56" i="23"/>
  <c r="D56" i="23"/>
  <c r="E56" i="23"/>
  <c r="G56" i="23"/>
  <c r="H56" i="23"/>
  <c r="N8" i="23"/>
  <c r="F47" i="22"/>
  <c r="O6" i="22" s="1"/>
  <c r="H47" i="22"/>
  <c r="G47" i="22"/>
  <c r="O7" i="22" s="1"/>
  <c r="E47" i="22"/>
  <c r="O5" i="22" s="1"/>
  <c r="AG6" i="20"/>
  <c r="AA23" i="20" s="1"/>
  <c r="AG5" i="20"/>
  <c r="AG4" i="20"/>
  <c r="O17" i="23" l="1"/>
  <c r="O39" i="23"/>
  <c r="Q39" i="23" s="1"/>
  <c r="E48" i="18" s="1"/>
  <c r="O18" i="23"/>
  <c r="P9" i="20"/>
  <c r="U8" i="20"/>
  <c r="G11" i="20"/>
  <c r="O30" i="22"/>
  <c r="R30" i="22" s="1"/>
  <c r="D39" i="18" s="1"/>
  <c r="O9" i="22"/>
  <c r="O29" i="22"/>
  <c r="R29" i="22" s="1"/>
  <c r="D38" i="18" s="1"/>
  <c r="R16" i="22"/>
  <c r="D25" i="18" s="1"/>
  <c r="R7" i="22"/>
  <c r="D16" i="18" s="1"/>
  <c r="R6" i="22"/>
  <c r="D15" i="18" s="1"/>
  <c r="R5" i="22"/>
  <c r="D14" i="18" s="1"/>
  <c r="O33" i="23"/>
  <c r="Q33" i="23" s="1"/>
  <c r="E42" i="18" s="1"/>
  <c r="O29" i="23"/>
  <c r="Q29" i="23" s="1"/>
  <c r="E38" i="18" s="1"/>
  <c r="O7" i="23"/>
  <c r="Q7" i="23" s="1"/>
  <c r="E16" i="18" s="1"/>
  <c r="O5" i="23"/>
  <c r="Q5" i="23" s="1"/>
  <c r="E14" i="18" s="1"/>
  <c r="O6" i="23"/>
  <c r="Q6" i="23" s="1"/>
  <c r="E15" i="18" s="1"/>
  <c r="O4" i="23"/>
  <c r="Q4" i="23" s="1"/>
  <c r="E13" i="18" s="1"/>
  <c r="O12" i="23"/>
  <c r="Q12" i="23" s="1"/>
  <c r="E21" i="18" s="1"/>
  <c r="O28" i="23"/>
  <c r="Q28" i="23" s="1"/>
  <c r="E37" i="18" s="1"/>
  <c r="O13" i="23"/>
  <c r="Q13" i="23" s="1"/>
  <c r="E22" i="18" s="1"/>
  <c r="O9" i="23"/>
  <c r="Q9" i="23" s="1"/>
  <c r="E18" i="18" s="1"/>
  <c r="O32" i="23"/>
  <c r="Q32" i="23" s="1"/>
  <c r="E41" i="18" s="1"/>
  <c r="O40" i="23"/>
  <c r="Q40" i="23" s="1"/>
  <c r="E49" i="18" s="1"/>
  <c r="O15" i="23"/>
  <c r="Q15" i="23" s="1"/>
  <c r="E24" i="18" s="1"/>
  <c r="O25" i="23"/>
  <c r="Q25" i="23" s="1"/>
  <c r="E34" i="18" s="1"/>
  <c r="O16" i="23"/>
  <c r="Q16" i="23" s="1"/>
  <c r="E25" i="18" s="1"/>
  <c r="O42" i="23"/>
  <c r="Q42" i="23" s="1"/>
  <c r="E51" i="18" s="1"/>
  <c r="O26" i="23"/>
  <c r="Q26" i="23" s="1"/>
  <c r="E36" i="18" s="1"/>
  <c r="O20" i="23"/>
  <c r="Q20" i="23" s="1"/>
  <c r="E29" i="18" s="1"/>
  <c r="O11" i="23"/>
  <c r="Q11" i="23" s="1"/>
  <c r="E20" i="18" s="1"/>
  <c r="O31" i="23"/>
  <c r="Q31" i="23" s="1"/>
  <c r="E40" i="18" s="1"/>
  <c r="O24" i="23"/>
  <c r="Q24" i="23" s="1"/>
  <c r="E33" i="18" s="1"/>
  <c r="O41" i="23"/>
  <c r="Q41" i="23" s="1"/>
  <c r="E50" i="18" s="1"/>
  <c r="O35" i="23"/>
  <c r="Q35" i="23" s="1"/>
  <c r="E44" i="18" s="1"/>
  <c r="O19" i="23"/>
  <c r="Q19" i="23" s="1"/>
  <c r="E28" i="18" s="1"/>
  <c r="O30" i="23"/>
  <c r="Q30" i="23" s="1"/>
  <c r="E39" i="18" s="1"/>
  <c r="O27" i="23"/>
  <c r="Q27" i="23" s="1"/>
  <c r="E35" i="18" s="1"/>
  <c r="O43" i="23"/>
  <c r="Q43" i="23" s="1"/>
  <c r="E52" i="18" s="1"/>
  <c r="O36" i="23"/>
  <c r="Q36" i="23" s="1"/>
  <c r="E45" i="18" s="1"/>
  <c r="O10" i="23"/>
  <c r="Q10" i="23" s="1"/>
  <c r="E19" i="18" s="1"/>
  <c r="O37" i="23"/>
  <c r="Q37" i="23" s="1"/>
  <c r="E46" i="18" s="1"/>
  <c r="O21" i="23"/>
  <c r="Q21" i="23" s="1"/>
  <c r="E30" i="18" s="1"/>
  <c r="O22" i="23"/>
  <c r="Q22" i="23" s="1"/>
  <c r="E31" i="18" s="1"/>
  <c r="O38" i="23"/>
  <c r="Q38" i="23" s="1"/>
  <c r="E47" i="18" s="1"/>
  <c r="O23" i="23"/>
  <c r="Q23" i="23" s="1"/>
  <c r="E32" i="18" s="1"/>
  <c r="O14" i="23"/>
  <c r="Q14" i="23" s="1"/>
  <c r="E23" i="18" s="1"/>
  <c r="Q44" i="22"/>
  <c r="O33" i="22"/>
  <c r="R33" i="22" s="1"/>
  <c r="O23" i="22"/>
  <c r="R23" i="22" s="1"/>
  <c r="O43" i="22"/>
  <c r="R43" i="22" s="1"/>
  <c r="O15" i="22"/>
  <c r="R15" i="22" s="1"/>
  <c r="O39" i="22"/>
  <c r="R39" i="22" s="1"/>
  <c r="O38" i="22"/>
  <c r="O42" i="22"/>
  <c r="R42" i="22" s="1"/>
  <c r="O35" i="22"/>
  <c r="R35" i="22" s="1"/>
  <c r="O31" i="22"/>
  <c r="R31" i="22" s="1"/>
  <c r="O34" i="22"/>
  <c r="R34" i="22" s="1"/>
  <c r="D43" i="18" s="1"/>
  <c r="O32" i="22"/>
  <c r="R32" i="22" s="1"/>
  <c r="O13" i="22"/>
  <c r="O27" i="22"/>
  <c r="R27" i="22" s="1"/>
  <c r="D36" i="18" s="1"/>
  <c r="O37" i="22"/>
  <c r="R37" i="22" s="1"/>
  <c r="D46" i="18" s="1"/>
  <c r="O12" i="22"/>
  <c r="R12" i="22" s="1"/>
  <c r="D21" i="18" s="1"/>
  <c r="O25" i="22"/>
  <c r="R25" i="22" s="1"/>
  <c r="D34" i="18" s="1"/>
  <c r="O36" i="22"/>
  <c r="R36" i="22" s="1"/>
  <c r="O10" i="22"/>
  <c r="O14" i="22"/>
  <c r="R14" i="22" s="1"/>
  <c r="O17" i="22"/>
  <c r="R17" i="22" s="1"/>
  <c r="O28" i="22"/>
  <c r="O40" i="22"/>
  <c r="R40" i="22" s="1"/>
  <c r="O18" i="22"/>
  <c r="R18" i="22" s="1"/>
  <c r="O21" i="22"/>
  <c r="O24" i="22"/>
  <c r="R24" i="22" s="1"/>
  <c r="D33" i="18" s="1"/>
  <c r="O22" i="22"/>
  <c r="R22" i="22" s="1"/>
  <c r="O41" i="22"/>
  <c r="R41" i="22" s="1"/>
  <c r="O20" i="22"/>
  <c r="R20" i="22" s="1"/>
  <c r="D29" i="18" s="1"/>
  <c r="O19" i="22"/>
  <c r="R19" i="22" s="1"/>
  <c r="O26" i="22"/>
  <c r="R26" i="22" s="1"/>
  <c r="D35" i="18" s="1"/>
  <c r="O11" i="22"/>
  <c r="R11" i="22" s="1"/>
  <c r="D47" i="22"/>
  <c r="O4" i="22" s="1"/>
  <c r="R4" i="22" s="1"/>
  <c r="N44" i="22"/>
  <c r="P44" i="23"/>
  <c r="O8" i="23"/>
  <c r="Q8" i="23" s="1"/>
  <c r="E17" i="18" s="1"/>
  <c r="Q17" i="23"/>
  <c r="E26" i="18" s="1"/>
  <c r="Q34" i="23"/>
  <c r="E43" i="18" s="1"/>
  <c r="Q18" i="23"/>
  <c r="E27" i="18" s="1"/>
  <c r="N44" i="23"/>
  <c r="O8" i="22"/>
  <c r="R8" i="22" s="1"/>
  <c r="P44" i="22"/>
  <c r="P10" i="20" l="1"/>
  <c r="U9" i="20"/>
  <c r="G12" i="20"/>
  <c r="D31" i="18"/>
  <c r="D42" i="18"/>
  <c r="D17" i="18"/>
  <c r="D27" i="18"/>
  <c r="D41" i="18"/>
  <c r="R9" i="22"/>
  <c r="D32" i="18"/>
  <c r="D50" i="18"/>
  <c r="D37" i="18"/>
  <c r="D40" i="18"/>
  <c r="D44" i="18"/>
  <c r="D26" i="18"/>
  <c r="D20" i="18"/>
  <c r="D23" i="18"/>
  <c r="D51" i="18"/>
  <c r="R21" i="22"/>
  <c r="D30" i="18" s="1"/>
  <c r="R28" i="22"/>
  <c r="R10" i="22"/>
  <c r="D19" i="18" s="1"/>
  <c r="D24" i="18"/>
  <c r="D52" i="18"/>
  <c r="D49" i="18"/>
  <c r="D28" i="18"/>
  <c r="D45" i="18"/>
  <c r="D48" i="18"/>
  <c r="R38" i="22"/>
  <c r="D47" i="18" s="1"/>
  <c r="R13" i="22"/>
  <c r="D22" i="18" s="1"/>
  <c r="D13" i="18"/>
  <c r="E53" i="18"/>
  <c r="E54" i="18" s="1"/>
  <c r="O44" i="23"/>
  <c r="Q44" i="23"/>
  <c r="O44" i="22"/>
  <c r="R44" i="22" l="1"/>
  <c r="P11" i="20"/>
  <c r="U10" i="20"/>
  <c r="G13" i="20"/>
  <c r="D18" i="18"/>
  <c r="X3" i="20"/>
  <c r="D53" i="18" l="1"/>
  <c r="D54" i="18" s="1"/>
  <c r="P12" i="20"/>
  <c r="U11" i="20"/>
  <c r="G14" i="20"/>
  <c r="F13" i="18"/>
  <c r="P13" i="20" l="1"/>
  <c r="U12" i="20"/>
  <c r="G15" i="20"/>
  <c r="H13" i="18"/>
  <c r="D6" i="20"/>
  <c r="E6" i="20"/>
  <c r="P14" i="20" l="1"/>
  <c r="U13" i="20"/>
  <c r="G16" i="20"/>
  <c r="E7" i="20"/>
  <c r="D7" i="20"/>
  <c r="D8" i="20" s="1"/>
  <c r="D10" i="20" s="1"/>
  <c r="D11" i="20" s="1"/>
  <c r="D12" i="20" s="1"/>
  <c r="D13" i="20" s="1"/>
  <c r="D14" i="20" s="1"/>
  <c r="D15" i="20" s="1"/>
  <c r="D16" i="20" s="1"/>
  <c r="D17" i="20" s="1"/>
  <c r="D18" i="20" s="1"/>
  <c r="D19" i="20" s="1"/>
  <c r="D20" i="20" s="1"/>
  <c r="D21" i="20" s="1"/>
  <c r="D22" i="20" s="1"/>
  <c r="D23" i="20" s="1"/>
  <c r="D24" i="20" s="1"/>
  <c r="D25" i="20" s="1"/>
  <c r="D26" i="20" s="1"/>
  <c r="D27" i="20" s="1"/>
  <c r="D28" i="20" s="1"/>
  <c r="D29" i="20" s="1"/>
  <c r="D30" i="20" s="1"/>
  <c r="D31" i="20" s="1"/>
  <c r="D32" i="20" s="1"/>
  <c r="D33" i="20" s="1"/>
  <c r="D34" i="20" s="1"/>
  <c r="D35" i="20" s="1"/>
  <c r="D36" i="20" s="1"/>
  <c r="P15" i="20" l="1"/>
  <c r="U14" i="20"/>
  <c r="G17" i="20"/>
  <c r="D37" i="20"/>
  <c r="D38" i="20" s="1"/>
  <c r="D39" i="20" s="1"/>
  <c r="D40" i="20" s="1"/>
  <c r="D41" i="20" s="1"/>
  <c r="D42" i="20" s="1"/>
  <c r="D43" i="20" s="1"/>
  <c r="D44" i="20" s="1"/>
  <c r="F14" i="18"/>
  <c r="E8" i="20"/>
  <c r="C7" i="20"/>
  <c r="P16" i="20" l="1"/>
  <c r="U15" i="20"/>
  <c r="G18" i="20"/>
  <c r="H14" i="18"/>
  <c r="D45" i="20"/>
  <c r="C8" i="20"/>
  <c r="C9" i="20" s="1"/>
  <c r="F15" i="18"/>
  <c r="E9" i="20"/>
  <c r="P17" i="20" l="1"/>
  <c r="U16" i="20"/>
  <c r="G19" i="20"/>
  <c r="H15" i="18"/>
  <c r="F17" i="18"/>
  <c r="F16" i="18"/>
  <c r="E10" i="20"/>
  <c r="C10" i="20"/>
  <c r="P18" i="20" l="1"/>
  <c r="U17" i="20"/>
  <c r="G20" i="20"/>
  <c r="F18" i="18"/>
  <c r="G18" i="18" s="1"/>
  <c r="H16" i="18"/>
  <c r="H17" i="18"/>
  <c r="E11" i="20"/>
  <c r="C11" i="20"/>
  <c r="P19" i="20" l="1"/>
  <c r="U18" i="20"/>
  <c r="G21" i="20"/>
  <c r="F19" i="18"/>
  <c r="H19" i="18" s="1"/>
  <c r="H18" i="18"/>
  <c r="E12" i="20"/>
  <c r="C12" i="20"/>
  <c r="P20" i="20" l="1"/>
  <c r="U19" i="20"/>
  <c r="G22" i="20"/>
  <c r="F20" i="18"/>
  <c r="H20" i="18" s="1"/>
  <c r="E13" i="20"/>
  <c r="C13" i="20"/>
  <c r="P21" i="20" l="1"/>
  <c r="U20" i="20"/>
  <c r="G23" i="20"/>
  <c r="F21" i="18"/>
  <c r="H21" i="18" s="1"/>
  <c r="E14" i="20"/>
  <c r="C14" i="20"/>
  <c r="P22" i="20" l="1"/>
  <c r="U21" i="20"/>
  <c r="G24" i="20"/>
  <c r="F22" i="18"/>
  <c r="H22" i="18" s="1"/>
  <c r="E15" i="20"/>
  <c r="C15" i="20"/>
  <c r="F23" i="18" s="1"/>
  <c r="P23" i="20" l="1"/>
  <c r="U22" i="20"/>
  <c r="G25" i="20"/>
  <c r="H23" i="18"/>
  <c r="E16" i="20"/>
  <c r="C16" i="20"/>
  <c r="P24" i="20" l="1"/>
  <c r="U23" i="20"/>
  <c r="G26" i="20"/>
  <c r="F24" i="18"/>
  <c r="E17" i="20"/>
  <c r="C17" i="20"/>
  <c r="P25" i="20" l="1"/>
  <c r="U24" i="20"/>
  <c r="G27" i="20"/>
  <c r="H24" i="18"/>
  <c r="F25" i="18"/>
  <c r="E18" i="20"/>
  <c r="C18" i="20"/>
  <c r="P26" i="20" l="1"/>
  <c r="U25" i="20"/>
  <c r="G28" i="20"/>
  <c r="F26" i="18"/>
  <c r="H26" i="18" s="1"/>
  <c r="H25" i="18"/>
  <c r="E19" i="20"/>
  <c r="C19" i="20"/>
  <c r="P27" i="20" l="1"/>
  <c r="U26" i="20"/>
  <c r="G29" i="20"/>
  <c r="F27" i="18"/>
  <c r="H27" i="18" s="1"/>
  <c r="E20" i="20"/>
  <c r="C20" i="20"/>
  <c r="P28" i="20" l="1"/>
  <c r="U27" i="20"/>
  <c r="G30" i="20"/>
  <c r="F28" i="18"/>
  <c r="H28" i="18" s="1"/>
  <c r="E21" i="20"/>
  <c r="C21" i="20"/>
  <c r="P29" i="20" l="1"/>
  <c r="U28" i="20"/>
  <c r="G31" i="20"/>
  <c r="F29" i="18"/>
  <c r="E22" i="20"/>
  <c r="C22" i="20"/>
  <c r="P30" i="20" l="1"/>
  <c r="U29" i="20"/>
  <c r="G32" i="20"/>
  <c r="H29" i="18"/>
  <c r="F30" i="18"/>
  <c r="E23" i="20"/>
  <c r="C23" i="20"/>
  <c r="P31" i="20" l="1"/>
  <c r="U30" i="20"/>
  <c r="G33" i="20"/>
  <c r="F31" i="18"/>
  <c r="H31" i="18" s="1"/>
  <c r="H30" i="18"/>
  <c r="E24" i="20"/>
  <c r="C24" i="20"/>
  <c r="P32" i="20" l="1"/>
  <c r="U31" i="20"/>
  <c r="G34" i="20"/>
  <c r="F32" i="18"/>
  <c r="H32" i="18" s="1"/>
  <c r="E25" i="20"/>
  <c r="C25" i="20"/>
  <c r="P33" i="20" l="1"/>
  <c r="U32" i="20"/>
  <c r="G35" i="20"/>
  <c r="F33" i="18"/>
  <c r="H33" i="18" s="1"/>
  <c r="E26" i="20"/>
  <c r="C26" i="20"/>
  <c r="P34" i="20" l="1"/>
  <c r="U33" i="20"/>
  <c r="G36" i="20"/>
  <c r="F34" i="18"/>
  <c r="E27" i="20"/>
  <c r="C27" i="20"/>
  <c r="P35" i="20" l="1"/>
  <c r="U34" i="20"/>
  <c r="G37" i="20"/>
  <c r="H34" i="18"/>
  <c r="F35" i="18"/>
  <c r="E28" i="20"/>
  <c r="C28" i="20"/>
  <c r="P36" i="20" l="1"/>
  <c r="U35" i="20"/>
  <c r="G38" i="20"/>
  <c r="F36" i="18"/>
  <c r="H36" i="18" s="1"/>
  <c r="H35" i="18"/>
  <c r="E29" i="20"/>
  <c r="C29" i="20"/>
  <c r="P37" i="20" l="1"/>
  <c r="U36" i="20"/>
  <c r="G39" i="20"/>
  <c r="F37" i="18"/>
  <c r="H37" i="18" s="1"/>
  <c r="E30" i="20"/>
  <c r="C30" i="20"/>
  <c r="P38" i="20" l="1"/>
  <c r="U37" i="20"/>
  <c r="G40" i="20"/>
  <c r="F38" i="18"/>
  <c r="H38" i="18" s="1"/>
  <c r="E31" i="20"/>
  <c r="C31" i="20"/>
  <c r="P39" i="20" l="1"/>
  <c r="U38" i="20"/>
  <c r="G41" i="20"/>
  <c r="F39" i="18"/>
  <c r="H39" i="18" s="1"/>
  <c r="E32" i="20"/>
  <c r="C32" i="20"/>
  <c r="P40" i="20" l="1"/>
  <c r="U39" i="20"/>
  <c r="G42" i="20"/>
  <c r="F40" i="18"/>
  <c r="H40" i="18" s="1"/>
  <c r="E33" i="20"/>
  <c r="C33" i="20"/>
  <c r="P41" i="20" l="1"/>
  <c r="U40" i="20"/>
  <c r="G43" i="20"/>
  <c r="F41" i="18"/>
  <c r="H41" i="18" s="1"/>
  <c r="E34" i="20"/>
  <c r="C34" i="20"/>
  <c r="P42" i="20" l="1"/>
  <c r="U41" i="20"/>
  <c r="G44" i="20"/>
  <c r="F42" i="18"/>
  <c r="H42" i="18" s="1"/>
  <c r="E35" i="20"/>
  <c r="C35" i="20"/>
  <c r="P43" i="20" l="1"/>
  <c r="U42" i="20"/>
  <c r="G45" i="20"/>
  <c r="F43" i="18"/>
  <c r="H43" i="18" s="1"/>
  <c r="E36" i="20"/>
  <c r="C36" i="20"/>
  <c r="P44" i="20" l="1"/>
  <c r="U43" i="20"/>
  <c r="F44" i="18"/>
  <c r="H44" i="18" s="1"/>
  <c r="E37" i="20"/>
  <c r="C37" i="20"/>
  <c r="P45" i="20" l="1"/>
  <c r="U44" i="20"/>
  <c r="U45" i="20" s="1"/>
  <c r="F45" i="18"/>
  <c r="E38" i="20"/>
  <c r="C38" i="20"/>
  <c r="H45" i="18" l="1"/>
  <c r="F46" i="18"/>
  <c r="E39" i="20"/>
  <c r="C39" i="20"/>
  <c r="H46" i="18" l="1"/>
  <c r="F47" i="18"/>
  <c r="E40" i="20"/>
  <c r="C40" i="20"/>
  <c r="H47" i="18" l="1"/>
  <c r="F48" i="18"/>
  <c r="E41" i="20"/>
  <c r="C41" i="20"/>
  <c r="F49" i="18" l="1"/>
  <c r="H49" i="18" s="1"/>
  <c r="H48" i="18"/>
  <c r="E42" i="20"/>
  <c r="C42" i="20"/>
  <c r="F50" i="18" l="1"/>
  <c r="E43" i="20"/>
  <c r="C43" i="20"/>
  <c r="H50" i="18" l="1"/>
  <c r="F51" i="18"/>
  <c r="E44" i="20"/>
  <c r="E45" i="20" s="1"/>
  <c r="C44" i="20"/>
  <c r="C45" i="20" s="1"/>
  <c r="H51" i="18" l="1"/>
  <c r="F52" i="18"/>
  <c r="H52" i="18" l="1"/>
  <c r="H53" i="18" s="1"/>
  <c r="H54" i="18" s="1"/>
  <c r="F53" i="18"/>
  <c r="F54" i="18" s="1"/>
  <c r="D55" i="2" l="1"/>
  <c r="D41" i="2" s="1"/>
  <c r="I4" i="2"/>
  <c r="I5" i="2" l="1"/>
  <c r="I6" i="2" s="1"/>
  <c r="I7" i="2" s="1"/>
  <c r="I8" i="2" s="1"/>
  <c r="I9" i="2" s="1"/>
  <c r="I10" i="2" s="1"/>
  <c r="I11" i="2" s="1"/>
  <c r="I12" i="2" s="1"/>
  <c r="I13" i="2" s="1"/>
  <c r="I14" i="2" s="1"/>
  <c r="I15" i="2" s="1"/>
  <c r="I16" i="2" s="1"/>
  <c r="I17" i="2" s="1"/>
  <c r="I18" i="2" s="1"/>
  <c r="I19" i="2" s="1"/>
  <c r="I20" i="2" s="1"/>
  <c r="I21" i="2" s="1"/>
  <c r="I22" i="2" s="1"/>
  <c r="I23" i="2" s="1"/>
  <c r="I24" i="2" s="1"/>
  <c r="I25" i="2" s="1"/>
  <c r="I26" i="2" s="1"/>
  <c r="I27" i="2" s="1"/>
  <c r="I28" i="2" s="1"/>
  <c r="I29" i="2" s="1"/>
  <c r="I30" i="2" s="1"/>
  <c r="I31" i="2" s="1"/>
  <c r="I32" i="2" s="1"/>
  <c r="I33" i="2" s="1"/>
  <c r="I34" i="2" s="1"/>
  <c r="I35" i="2" s="1"/>
  <c r="I36" i="2" s="1"/>
  <c r="I37" i="2" s="1"/>
  <c r="I38" i="2" s="1"/>
  <c r="I39" i="2" s="1"/>
  <c r="I40" i="2" s="1"/>
  <c r="I41" i="2" s="1"/>
  <c r="I42" i="2" s="1"/>
  <c r="I43" i="2" s="1"/>
  <c r="K4" i="2"/>
  <c r="K5" i="2"/>
  <c r="K6" i="2" s="1"/>
  <c r="K7" i="2" s="1"/>
  <c r="K8" i="2" s="1"/>
  <c r="K9" i="2" s="1"/>
  <c r="K10" i="2" s="1"/>
  <c r="K11" i="2" s="1"/>
  <c r="K12" i="2" s="1"/>
  <c r="K13" i="2" s="1"/>
  <c r="K14" i="2" s="1"/>
  <c r="K15" i="2" s="1"/>
  <c r="K16" i="2" s="1"/>
  <c r="K17" i="2" s="1"/>
  <c r="K18" i="2" s="1"/>
  <c r="K19" i="2" s="1"/>
  <c r="K20" i="2" s="1"/>
  <c r="K21" i="2" s="1"/>
  <c r="K22" i="2" s="1"/>
  <c r="K23" i="2" s="1"/>
  <c r="K24" i="2" s="1"/>
  <c r="K25" i="2" s="1"/>
  <c r="K26" i="2" s="1"/>
  <c r="K27" i="2" s="1"/>
  <c r="K28" i="2" s="1"/>
  <c r="K29" i="2" s="1"/>
  <c r="K30" i="2" s="1"/>
  <c r="K31" i="2" s="1"/>
  <c r="K32" i="2" s="1"/>
  <c r="K33" i="2" s="1"/>
  <c r="K34" i="2" s="1"/>
  <c r="K35" i="2" s="1"/>
  <c r="K36" i="2" s="1"/>
  <c r="K37" i="2" s="1"/>
  <c r="K38" i="2" s="1"/>
  <c r="K39" i="2" s="1"/>
  <c r="K40" i="2" s="1"/>
  <c r="K41" i="2" s="1"/>
  <c r="K42" i="2" s="1"/>
  <c r="K43" i="2" s="1"/>
  <c r="K44" i="2" l="1"/>
  <c r="J4" i="2"/>
  <c r="J5" i="2"/>
  <c r="J6" i="2" s="1"/>
  <c r="J7" i="2" s="1"/>
  <c r="J8" i="2" s="1"/>
  <c r="J9" i="2" s="1"/>
  <c r="J10" i="2" s="1"/>
  <c r="J11" i="2" s="1"/>
  <c r="J12" i="2" s="1"/>
  <c r="J13" i="2" s="1"/>
  <c r="J14" i="2" s="1"/>
  <c r="J15" i="2" s="1"/>
  <c r="J16" i="2" s="1"/>
  <c r="J17" i="2" s="1"/>
  <c r="J18" i="2" s="1"/>
  <c r="J19" i="2" s="1"/>
  <c r="J20" i="2" s="1"/>
  <c r="J21" i="2" s="1"/>
  <c r="J22" i="2" s="1"/>
  <c r="J23" i="2" s="1"/>
  <c r="J24" i="2" s="1"/>
  <c r="J25" i="2" s="1"/>
  <c r="J26" i="2" s="1"/>
  <c r="J27" i="2" s="1"/>
  <c r="J28" i="2" s="1"/>
  <c r="J29" i="2" s="1"/>
  <c r="J30" i="2" s="1"/>
  <c r="J31" i="2" s="1"/>
  <c r="J32" i="2" s="1"/>
  <c r="J33" i="2" s="1"/>
  <c r="J34" i="2" s="1"/>
  <c r="J35" i="2" s="1"/>
  <c r="J36" i="2" s="1"/>
  <c r="J37" i="2" s="1"/>
  <c r="J38" i="2" s="1"/>
  <c r="J39" i="2" s="1"/>
  <c r="J40" i="2" s="1"/>
  <c r="J41" i="2" s="1"/>
  <c r="J42" i="2" s="1"/>
  <c r="J43" i="2" s="1"/>
  <c r="L6" i="2" l="1"/>
  <c r="C15" i="18" s="1"/>
  <c r="G15" i="18" s="1"/>
  <c r="L4" i="2"/>
  <c r="C13" i="18" s="1"/>
  <c r="G13" i="18" s="1"/>
  <c r="J44" i="2"/>
  <c r="L5" i="2"/>
  <c r="C14" i="18" s="1"/>
  <c r="G14" i="18" s="1"/>
  <c r="I14" i="18" s="1"/>
  <c r="L7" i="2"/>
  <c r="C16" i="18" s="1"/>
  <c r="G16" i="18" s="1"/>
  <c r="L8" i="2"/>
  <c r="C17" i="18" s="1"/>
  <c r="G17" i="18" l="1"/>
  <c r="I17" i="18" s="1"/>
  <c r="I13" i="18"/>
  <c r="I16" i="18"/>
  <c r="I15" i="18"/>
  <c r="L9" i="2"/>
  <c r="C18" i="18" s="1"/>
  <c r="I18" i="18" l="1"/>
  <c r="L10" i="2"/>
  <c r="C19" i="18" s="1"/>
  <c r="G19" i="18" l="1"/>
  <c r="I19" i="18" s="1"/>
  <c r="L11" i="2"/>
  <c r="C20" i="18" s="1"/>
  <c r="G20" i="18" l="1"/>
  <c r="I20" i="18" s="1"/>
  <c r="L12" i="2"/>
  <c r="C21" i="18" s="1"/>
  <c r="G21" i="18" l="1"/>
  <c r="I21" i="18" s="1"/>
  <c r="L13" i="2"/>
  <c r="C22" i="18" s="1"/>
  <c r="G22" i="18" l="1"/>
  <c r="I22" i="18" s="1"/>
  <c r="L14" i="2"/>
  <c r="C23" i="18" s="1"/>
  <c r="G23" i="18" l="1"/>
  <c r="I23" i="18" s="1"/>
  <c r="L15" i="2"/>
  <c r="C24" i="18" s="1"/>
  <c r="G24" i="18" s="1"/>
  <c r="I24" i="18" l="1"/>
  <c r="L16" i="2"/>
  <c r="C25" i="18" s="1"/>
  <c r="G25" i="18" s="1"/>
  <c r="I25" i="18" l="1"/>
  <c r="L17" i="2"/>
  <c r="C26" i="18" s="1"/>
  <c r="G26" i="18" l="1"/>
  <c r="I26" i="18" s="1"/>
  <c r="L18" i="2"/>
  <c r="C27" i="18" s="1"/>
  <c r="G27" i="18" l="1"/>
  <c r="I27" i="18" s="1"/>
  <c r="L19" i="2"/>
  <c r="C28" i="18" s="1"/>
  <c r="G28" i="18" l="1"/>
  <c r="I28" i="18" s="1"/>
  <c r="L20" i="2"/>
  <c r="C29" i="18" s="1"/>
  <c r="G29" i="18" l="1"/>
  <c r="I29" i="18" s="1"/>
  <c r="L21" i="2"/>
  <c r="C30" i="18" s="1"/>
  <c r="G30" i="18" l="1"/>
  <c r="I30" i="18" s="1"/>
  <c r="L22" i="2"/>
  <c r="C31" i="18" s="1"/>
  <c r="G31" i="18" l="1"/>
  <c r="I31" i="18" s="1"/>
  <c r="L23" i="2"/>
  <c r="C32" i="18" s="1"/>
  <c r="G32" i="18" l="1"/>
  <c r="I32" i="18" s="1"/>
  <c r="L24" i="2"/>
  <c r="C33" i="18" s="1"/>
  <c r="G33" i="18" l="1"/>
  <c r="I33" i="18" s="1"/>
  <c r="L25" i="2"/>
  <c r="C34" i="18" s="1"/>
  <c r="G34" i="18" l="1"/>
  <c r="I34" i="18" s="1"/>
  <c r="L26" i="2"/>
  <c r="C35" i="18" s="1"/>
  <c r="G35" i="18" l="1"/>
  <c r="I35" i="18" s="1"/>
  <c r="L27" i="2"/>
  <c r="C36" i="18" s="1"/>
  <c r="G36" i="18" l="1"/>
  <c r="I36" i="18" s="1"/>
  <c r="L28" i="2"/>
  <c r="C37" i="18" s="1"/>
  <c r="G37" i="18" l="1"/>
  <c r="I37" i="18" s="1"/>
  <c r="L29" i="2"/>
  <c r="C38" i="18" s="1"/>
  <c r="G38" i="18" s="1"/>
  <c r="I38" i="18" l="1"/>
  <c r="L30" i="2"/>
  <c r="C39" i="18" s="1"/>
  <c r="G39" i="18" l="1"/>
  <c r="I39" i="18" s="1"/>
  <c r="L31" i="2"/>
  <c r="C40" i="18" s="1"/>
  <c r="G40" i="18" s="1"/>
  <c r="I40" i="18" l="1"/>
  <c r="L32" i="2"/>
  <c r="C41" i="18" s="1"/>
  <c r="G41" i="18" s="1"/>
  <c r="I41" i="18" l="1"/>
  <c r="L33" i="2"/>
  <c r="C42" i="18" s="1"/>
  <c r="G42" i="18" s="1"/>
  <c r="I42" i="18" l="1"/>
  <c r="L34" i="2"/>
  <c r="C43" i="18" s="1"/>
  <c r="G43" i="18" l="1"/>
  <c r="I43" i="18" s="1"/>
  <c r="L35" i="2"/>
  <c r="C44" i="18" s="1"/>
  <c r="G44" i="18" l="1"/>
  <c r="I44" i="18" s="1"/>
  <c r="L36" i="2"/>
  <c r="C45" i="18" s="1"/>
  <c r="G45" i="18" l="1"/>
  <c r="I45" i="18" s="1"/>
  <c r="L37" i="2"/>
  <c r="C46" i="18" s="1"/>
  <c r="G46" i="18" s="1"/>
  <c r="I46" i="18" l="1"/>
  <c r="L38" i="2"/>
  <c r="C47" i="18" s="1"/>
  <c r="G47" i="18" l="1"/>
  <c r="I47" i="18" s="1"/>
  <c r="L39" i="2"/>
  <c r="C48" i="18" s="1"/>
  <c r="G48" i="18" l="1"/>
  <c r="I48" i="18" s="1"/>
  <c r="L40" i="2"/>
  <c r="C49" i="18" s="1"/>
  <c r="G49" i="18" l="1"/>
  <c r="I49" i="18" s="1"/>
  <c r="L41" i="2"/>
  <c r="C50" i="18" s="1"/>
  <c r="G50" i="18" l="1"/>
  <c r="I50" i="18" s="1"/>
  <c r="I44" i="2"/>
  <c r="L42" i="2"/>
  <c r="C51" i="18" s="1"/>
  <c r="G51" i="18" l="1"/>
  <c r="I51" i="18" s="1"/>
  <c r="L43" i="2"/>
  <c r="C52" i="18" s="1"/>
  <c r="G52" i="18" s="1"/>
  <c r="G53" i="18" l="1"/>
  <c r="G54" i="18" s="1"/>
  <c r="L44" i="2"/>
  <c r="I52" i="18" l="1"/>
  <c r="I53" i="18" s="1"/>
  <c r="I54" i="18" s="1"/>
  <c r="C53" i="18"/>
  <c r="C54" i="1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林茂</author>
  </authors>
  <commentList>
    <comment ref="F2" authorId="0" shapeId="0" xr:uid="{DEE57A50-0C39-432C-AC5E-3E31FEFD301B}">
      <text>
        <r>
          <rPr>
            <b/>
            <sz val="9"/>
            <color indexed="81"/>
            <rFont val="宋体"/>
            <family val="3"/>
            <charset val="134"/>
          </rPr>
          <t>林茂:</t>
        </r>
        <r>
          <rPr>
            <sz val="9"/>
            <color indexed="81"/>
            <rFont val="宋体"/>
            <family val="3"/>
            <charset val="134"/>
          </rPr>
          <t xml:space="preserve">
According to the nationally-approved standard Method for Determination of Soil Organic Matter (NY/T 1121.6-2006), Soil Organic Carbon (SOC) is equal to Soil Organic Matter (SOM) divided by 1.724.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林茂</author>
  </authors>
  <commentList>
    <comment ref="F2" authorId="0" shapeId="0" xr:uid="{DEC41A39-7093-4485-9E24-BA10E55618FC}">
      <text>
        <r>
          <rPr>
            <b/>
            <sz val="9"/>
            <color indexed="81"/>
            <rFont val="宋体"/>
            <family val="3"/>
            <charset val="134"/>
          </rPr>
          <t>林茂:</t>
        </r>
        <r>
          <rPr>
            <sz val="9"/>
            <color indexed="81"/>
            <rFont val="宋体"/>
            <family val="3"/>
            <charset val="134"/>
          </rPr>
          <t xml:space="preserve">
According to the nationally-approved standard Method for Determination of Soil Organic Matter (NY/T 1121.6-2006), Soil Organic Carbon (SOC) is equal to Soil Organic Matter (SOM) divided by 1.724.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林茂</author>
  </authors>
  <commentList>
    <comment ref="F2" authorId="0" shapeId="0" xr:uid="{12570B2A-B839-425F-9FEE-97DF3B168968}">
      <text>
        <r>
          <rPr>
            <b/>
            <sz val="9"/>
            <color indexed="81"/>
            <rFont val="宋体"/>
            <family val="3"/>
            <charset val="134"/>
          </rPr>
          <t>林茂:</t>
        </r>
        <r>
          <rPr>
            <sz val="9"/>
            <color indexed="81"/>
            <rFont val="宋体"/>
            <family val="3"/>
            <charset val="134"/>
          </rPr>
          <t xml:space="preserve">
According to the nationally-approved standard Method for Determination of Soil Organic Matter (NY/T 1121.6-2006), Soil Organic Carbon (SOC) is equal to Soil Organic Matter (SOM) divided by 1.724.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林茂</author>
  </authors>
  <commentList>
    <comment ref="F2" authorId="0" shapeId="0" xr:uid="{619860CE-BC6D-4CFD-9A15-9B173D93F7FA}">
      <text>
        <r>
          <rPr>
            <b/>
            <sz val="9"/>
            <color indexed="81"/>
            <rFont val="宋体"/>
            <family val="3"/>
            <charset val="134"/>
          </rPr>
          <t>林茂:</t>
        </r>
        <r>
          <rPr>
            <sz val="9"/>
            <color indexed="81"/>
            <rFont val="宋体"/>
            <family val="3"/>
            <charset val="134"/>
          </rPr>
          <t xml:space="preserve">
According to the nationally-approved standard Method for Determination of Soil Organic Matter (NY/T 1121.6-2006), Soil Organic Carbon (SOC) is equal to Soil Organic Matter (SOM) divided by 1.724.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林茂</author>
  </authors>
  <commentList>
    <comment ref="F2" authorId="0" shapeId="0" xr:uid="{36C69881-E971-48C4-AB44-AD7F85B87329}">
      <text>
        <r>
          <rPr>
            <b/>
            <sz val="9"/>
            <color indexed="81"/>
            <rFont val="宋体"/>
            <family val="3"/>
            <charset val="134"/>
          </rPr>
          <t>林茂:</t>
        </r>
        <r>
          <rPr>
            <sz val="9"/>
            <color indexed="81"/>
            <rFont val="宋体"/>
            <family val="3"/>
            <charset val="134"/>
          </rPr>
          <t xml:space="preserve">
According to the nationally-approved standard Method for Determination of Soil Organic Matter (NY/T 1121.6-2006), Soil Organic Carbon (SOC) is equal to Soil Organic Matter (SOM) divided by 1.724.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林茂</author>
  </authors>
  <commentList>
    <comment ref="F2" authorId="0" shapeId="0" xr:uid="{282C9C7D-38A2-4B9A-8098-8B64F8D5EBF6}">
      <text>
        <r>
          <rPr>
            <b/>
            <sz val="9"/>
            <color indexed="81"/>
            <rFont val="宋体"/>
            <family val="3"/>
            <charset val="134"/>
          </rPr>
          <t>林茂:</t>
        </r>
        <r>
          <rPr>
            <sz val="9"/>
            <color indexed="81"/>
            <rFont val="宋体"/>
            <family val="3"/>
            <charset val="134"/>
          </rPr>
          <t xml:space="preserve">
According to the nationally-approved standard Method for Determination of Soil Organic Matter (NY/T 1121.6-2006), Soil Organic Carbon (SOC) is equal to Soil Organic Matter (SOM) divided by 1.724.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林茂</author>
  </authors>
  <commentList>
    <comment ref="F2" authorId="0" shapeId="0" xr:uid="{531CB76C-A4AD-47F8-836C-035D65CF67AF}">
      <text>
        <r>
          <rPr>
            <b/>
            <sz val="9"/>
            <color indexed="81"/>
            <rFont val="宋体"/>
            <family val="3"/>
            <charset val="134"/>
          </rPr>
          <t>林茂:</t>
        </r>
        <r>
          <rPr>
            <sz val="9"/>
            <color indexed="81"/>
            <rFont val="宋体"/>
            <family val="3"/>
            <charset val="134"/>
          </rPr>
          <t xml:space="preserve">
According to the nationally-approved standard Method for Determination of Soil Organic Matter (NY/T 1121.6-2006), Soil Organic Carbon (SOC) is equal to Soil Organic Matter (SOM) divided by 1.724.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林茂</author>
  </authors>
  <commentList>
    <comment ref="F2" authorId="0" shapeId="0" xr:uid="{BFCC4F36-4176-4EBF-A8F7-89397AC69915}">
      <text>
        <r>
          <rPr>
            <b/>
            <sz val="9"/>
            <color indexed="81"/>
            <rFont val="宋体"/>
            <family val="3"/>
            <charset val="134"/>
          </rPr>
          <t>林茂:</t>
        </r>
        <r>
          <rPr>
            <sz val="9"/>
            <color indexed="81"/>
            <rFont val="宋体"/>
            <family val="3"/>
            <charset val="134"/>
          </rPr>
          <t xml:space="preserve">
According to the nationally-approved standard Method for Determination of Soil Organic Matter (NY/T 1121.6-2006), Soil Organic Carbon (SOC) is equal to Soil Organic Matter (SOM) divided by 1.724.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林茂</author>
  </authors>
  <commentList>
    <comment ref="F2" authorId="0" shapeId="0" xr:uid="{6BA5177D-A6B2-41DF-91A1-C99BBB63FF3F}">
      <text>
        <r>
          <rPr>
            <b/>
            <sz val="9"/>
            <color indexed="81"/>
            <rFont val="宋体"/>
            <family val="3"/>
            <charset val="134"/>
          </rPr>
          <t>林茂:</t>
        </r>
        <r>
          <rPr>
            <sz val="9"/>
            <color indexed="81"/>
            <rFont val="宋体"/>
            <family val="3"/>
            <charset val="134"/>
          </rPr>
          <t xml:space="preserve">
According to the nationally-approved standard Method for Determination of Soil Organic Matter (NY/T 1121.6-2006), Soil Organic Carbon (SOC) is equal to Soil Organic Matter (SOM) divided by 1.724.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林茂</author>
  </authors>
  <commentList>
    <comment ref="F2" authorId="0" shapeId="0" xr:uid="{A712868A-AE33-4B6F-AD75-978313473A0C}">
      <text>
        <r>
          <rPr>
            <b/>
            <sz val="9"/>
            <color indexed="81"/>
            <rFont val="宋体"/>
            <family val="3"/>
            <charset val="134"/>
          </rPr>
          <t>林茂:</t>
        </r>
        <r>
          <rPr>
            <sz val="9"/>
            <color indexed="81"/>
            <rFont val="宋体"/>
            <family val="3"/>
            <charset val="134"/>
          </rPr>
          <t xml:space="preserve">
According to the nationally-approved standard Method for Determination of Soil Organic Matter (NY/T 1121.6-2006), Soil Organic Carbon (SOC) is equal to Soil Organic Matter (SOM) divided by 1.724.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林茂</author>
  </authors>
  <commentList>
    <comment ref="F2" authorId="0" shapeId="0" xr:uid="{CC981A18-271B-4344-BBDC-6C9480159C47}">
      <text>
        <r>
          <rPr>
            <b/>
            <sz val="9"/>
            <color indexed="81"/>
            <rFont val="宋体"/>
            <family val="3"/>
            <charset val="134"/>
          </rPr>
          <t>林茂:</t>
        </r>
        <r>
          <rPr>
            <sz val="9"/>
            <color indexed="81"/>
            <rFont val="宋体"/>
            <family val="3"/>
            <charset val="134"/>
          </rPr>
          <t xml:space="preserve">
According to the nationally-approved standard Method for Determination of Soil Organic Matter (NY/T 1121.6-2006), Soil Organic Carbon (SOC) is equal to Soil Organic Matter (SOM) divided by 1.724.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林茂</author>
  </authors>
  <commentList>
    <comment ref="F2" authorId="0" shapeId="0" xr:uid="{5363CD27-1ED3-4282-BF84-306E2D48FC8C}">
      <text>
        <r>
          <rPr>
            <b/>
            <sz val="9"/>
            <color indexed="81"/>
            <rFont val="宋体"/>
            <family val="3"/>
            <charset val="134"/>
          </rPr>
          <t>林茂:</t>
        </r>
        <r>
          <rPr>
            <sz val="9"/>
            <color indexed="81"/>
            <rFont val="宋体"/>
            <family val="3"/>
            <charset val="134"/>
          </rPr>
          <t xml:space="preserve">
According to the nationally-approved standard Method for Determination of Soil Organic Matter (NY/T 1121.6-2006), Soil Organic Carbon (SOC) is equal to Soil Organic Matter (SOM) divided by 1.724.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林茂</author>
  </authors>
  <commentList>
    <comment ref="F2" authorId="0" shapeId="0" xr:uid="{A9E5E6B5-B454-43C4-B7CA-49568F82568E}">
      <text>
        <r>
          <rPr>
            <b/>
            <sz val="9"/>
            <color indexed="81"/>
            <rFont val="宋体"/>
            <family val="3"/>
            <charset val="134"/>
          </rPr>
          <t>林茂:</t>
        </r>
        <r>
          <rPr>
            <sz val="9"/>
            <color indexed="81"/>
            <rFont val="宋体"/>
            <family val="3"/>
            <charset val="134"/>
          </rPr>
          <t xml:space="preserve">
According to the nationally-approved standard Method for Determination of Soil Organic Matter (NY/T 1121.6-2006), Soil Organic Carbon (SOC) is equal to Soil Organic Matter (SOM) divided by 1.724.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林茂</author>
  </authors>
  <commentList>
    <comment ref="F2" authorId="0" shapeId="0" xr:uid="{10AED665-D538-4A89-A9D6-4B5D0950B498}">
      <text>
        <r>
          <rPr>
            <b/>
            <sz val="9"/>
            <color indexed="81"/>
            <rFont val="宋体"/>
            <family val="3"/>
            <charset val="134"/>
          </rPr>
          <t>林茂:</t>
        </r>
        <r>
          <rPr>
            <sz val="9"/>
            <color indexed="81"/>
            <rFont val="宋体"/>
            <family val="3"/>
            <charset val="134"/>
          </rPr>
          <t xml:space="preserve">
According to the nationally-approved standard Method for Determination of Soil Organic Matter (NY/T 1121.6-2006), Soil Organic Carbon (SOC) is equal to Soil Organic Matter (SOM) divided by 1.724.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林茂</author>
  </authors>
  <commentList>
    <comment ref="F2" authorId="0" shapeId="0" xr:uid="{62D1069F-9E04-4610-9DD6-C467798F68BD}">
      <text>
        <r>
          <rPr>
            <b/>
            <sz val="9"/>
            <color indexed="81"/>
            <rFont val="宋体"/>
            <family val="3"/>
            <charset val="134"/>
          </rPr>
          <t>林茂:</t>
        </r>
        <r>
          <rPr>
            <sz val="9"/>
            <color indexed="81"/>
            <rFont val="宋体"/>
            <family val="3"/>
            <charset val="134"/>
          </rPr>
          <t xml:space="preserve">
According to the nationally-approved standard Method for Determination of Soil Organic Matter (NY/T 1121.6-2006), Soil Organic Carbon (SOC) is equal to Soil Organic Matter (SOM) divided by 1.724.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林茂</author>
  </authors>
  <commentList>
    <comment ref="F2" authorId="0" shapeId="0" xr:uid="{4BDF4AE8-0AF0-4F73-AB80-F94F11C3BE04}">
      <text>
        <r>
          <rPr>
            <b/>
            <sz val="9"/>
            <color indexed="81"/>
            <rFont val="宋体"/>
            <family val="3"/>
            <charset val="134"/>
          </rPr>
          <t>林茂:</t>
        </r>
        <r>
          <rPr>
            <sz val="9"/>
            <color indexed="81"/>
            <rFont val="宋体"/>
            <family val="3"/>
            <charset val="134"/>
          </rPr>
          <t xml:space="preserve">
According to the nationally-approved standard Method for Determination of Soil Organic Matter (NY/T 1121.6-2006), Soil Organic Carbon (SOC) is equal to Soil Organic Matter (SOM) divided by 1.724.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林茂</author>
  </authors>
  <commentList>
    <comment ref="F2" authorId="0" shapeId="0" xr:uid="{EDB0ED72-E982-4E47-88B1-DC074C666179}">
      <text>
        <r>
          <rPr>
            <b/>
            <sz val="9"/>
            <color indexed="81"/>
            <rFont val="宋体"/>
            <family val="3"/>
            <charset val="134"/>
          </rPr>
          <t>林茂:</t>
        </r>
        <r>
          <rPr>
            <sz val="9"/>
            <color indexed="81"/>
            <rFont val="宋体"/>
            <family val="3"/>
            <charset val="134"/>
          </rPr>
          <t xml:space="preserve">
According to the nationally-approved standard Method for Determination of Soil Organic Matter (NY/T 1121.6-2006), Soil Organic Carbon (SOC) is equal to Soil Organic Matter (SOM) divided by 1.724.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林茂</author>
  </authors>
  <commentList>
    <comment ref="F2" authorId="0" shapeId="0" xr:uid="{4991782C-A3C9-495D-AB2A-E87990DD3418}">
      <text>
        <r>
          <rPr>
            <b/>
            <sz val="9"/>
            <color indexed="81"/>
            <rFont val="宋体"/>
            <family val="3"/>
            <charset val="134"/>
          </rPr>
          <t>林茂:</t>
        </r>
        <r>
          <rPr>
            <sz val="9"/>
            <color indexed="81"/>
            <rFont val="宋体"/>
            <family val="3"/>
            <charset val="134"/>
          </rPr>
          <t xml:space="preserve">
According to the nationally-approved standard Method for Determination of Soil Organic Matter (NY/T 1121.6-2006), Soil Organic Carbon (SOC) is equal to Soil Organic Matter (SOM) divided by 1.724.</t>
        </r>
      </text>
    </comment>
  </commentList>
</comments>
</file>

<file path=xl/sharedStrings.xml><?xml version="1.0" encoding="utf-8"?>
<sst xmlns="http://schemas.openxmlformats.org/spreadsheetml/2006/main" count="915" uniqueCount="368">
  <si>
    <t>Pronect name</t>
    <phoneticPr fontId="2" type="noConversion"/>
  </si>
  <si>
    <t xml:space="preserve">Zhangye Improved Grassland Management Project </t>
    <phoneticPr fontId="2" type="noConversion"/>
  </si>
  <si>
    <t>Project ID</t>
    <phoneticPr fontId="2" type="noConversion"/>
  </si>
  <si>
    <t>VCS2748</t>
    <phoneticPr fontId="2" type="noConversion"/>
  </si>
  <si>
    <t>Date</t>
    <phoneticPr fontId="2" type="noConversion"/>
  </si>
  <si>
    <t>Version</t>
    <phoneticPr fontId="2" type="noConversion"/>
  </si>
  <si>
    <t>03</t>
    <phoneticPr fontId="2" type="noConversion"/>
  </si>
  <si>
    <t>Crediting period</t>
    <phoneticPr fontId="2" type="noConversion"/>
  </si>
  <si>
    <t>25-July-2022 to 31-December 2021</t>
    <phoneticPr fontId="2" type="noConversion"/>
  </si>
  <si>
    <t>Methodology</t>
    <phoneticPr fontId="2" type="noConversion"/>
  </si>
  <si>
    <t>VM0026</t>
    <phoneticPr fontId="2" type="noConversion"/>
  </si>
  <si>
    <t>Project location</t>
    <phoneticPr fontId="2" type="noConversion"/>
  </si>
  <si>
    <t>Zhangye City, Gansu Province, China</t>
    <phoneticPr fontId="2" type="noConversion"/>
  </si>
  <si>
    <t>Projeca area</t>
    <phoneticPr fontId="2" type="noConversion"/>
  </si>
  <si>
    <t>261,059.80 ha</t>
    <phoneticPr fontId="2" type="noConversion"/>
  </si>
  <si>
    <t>Year</t>
    <phoneticPr fontId="2" type="noConversion"/>
  </si>
  <si>
    <r>
      <t>BE</t>
    </r>
    <r>
      <rPr>
        <b/>
        <i/>
        <vertAlign val="subscript"/>
        <sz val="10"/>
        <color theme="1"/>
        <rFont val="Arial"/>
        <family val="2"/>
      </rPr>
      <t>b</t>
    </r>
    <phoneticPr fontId="2" type="noConversion"/>
  </si>
  <si>
    <r>
      <t>PE</t>
    </r>
    <r>
      <rPr>
        <b/>
        <i/>
        <vertAlign val="subscript"/>
        <sz val="10"/>
        <color theme="1"/>
        <rFont val="Arial"/>
        <family val="2"/>
      </rPr>
      <t>t</t>
    </r>
    <phoneticPr fontId="2" type="noConversion"/>
  </si>
  <si>
    <r>
      <t>LE</t>
    </r>
    <r>
      <rPr>
        <b/>
        <i/>
        <vertAlign val="subscript"/>
        <sz val="10"/>
        <color theme="1"/>
        <rFont val="Arial"/>
        <family val="2"/>
      </rPr>
      <t>t</t>
    </r>
    <phoneticPr fontId="2" type="noConversion"/>
  </si>
  <si>
    <r>
      <t>PR</t>
    </r>
    <r>
      <rPr>
        <b/>
        <i/>
        <vertAlign val="subscript"/>
        <sz val="10"/>
        <color theme="1"/>
        <rFont val="Arial"/>
        <family val="2"/>
      </rPr>
      <t>t</t>
    </r>
    <phoneticPr fontId="2" type="noConversion"/>
  </si>
  <si>
    <r>
      <t>ER</t>
    </r>
    <r>
      <rPr>
        <b/>
        <i/>
        <vertAlign val="subscript"/>
        <sz val="10"/>
        <color theme="1"/>
        <rFont val="Arial"/>
        <family val="2"/>
      </rPr>
      <t>t</t>
    </r>
    <phoneticPr fontId="2" type="noConversion"/>
  </si>
  <si>
    <t>Buffer</t>
    <phoneticPr fontId="2" type="noConversion"/>
  </si>
  <si>
    <t>Net VCUs</t>
    <phoneticPr fontId="2" type="noConversion"/>
  </si>
  <si>
    <r>
      <t>t CO</t>
    </r>
    <r>
      <rPr>
        <b/>
        <vertAlign val="subscript"/>
        <sz val="10"/>
        <color rgb="FF000000"/>
        <rFont val="Arial"/>
        <family val="2"/>
      </rPr>
      <t>2</t>
    </r>
    <r>
      <rPr>
        <b/>
        <sz val="10"/>
        <color rgb="FF000000"/>
        <rFont val="Arial"/>
        <family val="2"/>
      </rPr>
      <t>e</t>
    </r>
  </si>
  <si>
    <t>Total</t>
    <phoneticPr fontId="2" type="noConversion"/>
  </si>
  <si>
    <t>Annual average</t>
    <phoneticPr fontId="2" type="noConversion"/>
  </si>
  <si>
    <t>Parameter</t>
    <phoneticPr fontId="3" type="noConversion"/>
  </si>
  <si>
    <t>Value</t>
    <phoneticPr fontId="3" type="noConversion"/>
  </si>
  <si>
    <t>Unit</t>
    <phoneticPr fontId="3" type="noConversion"/>
  </si>
  <si>
    <t>Sources</t>
    <phoneticPr fontId="3" type="noConversion"/>
  </si>
  <si>
    <r>
      <t>BE</t>
    </r>
    <r>
      <rPr>
        <b/>
        <i/>
        <vertAlign val="subscript"/>
        <sz val="10"/>
        <color theme="1"/>
        <rFont val="Arial"/>
        <family val="2"/>
      </rPr>
      <t>CH4EF,b</t>
    </r>
    <phoneticPr fontId="2" type="noConversion"/>
  </si>
  <si>
    <r>
      <t>BE</t>
    </r>
    <r>
      <rPr>
        <b/>
        <i/>
        <vertAlign val="subscript"/>
        <sz val="10"/>
        <color theme="1"/>
        <rFont val="Arial"/>
        <family val="2"/>
      </rPr>
      <t>N2OMD,b</t>
    </r>
    <phoneticPr fontId="2" type="noConversion"/>
  </si>
  <si>
    <r>
      <t>BE</t>
    </r>
    <r>
      <rPr>
        <b/>
        <i/>
        <vertAlign val="subscript"/>
        <sz val="10"/>
        <color theme="1"/>
        <rFont val="Arial"/>
        <family val="2"/>
      </rPr>
      <t>CH4MD,b</t>
    </r>
    <phoneticPr fontId="2" type="noConversion"/>
  </si>
  <si>
    <r>
      <t>GWP</t>
    </r>
    <r>
      <rPr>
        <i/>
        <vertAlign val="subscript"/>
        <sz val="10"/>
        <color theme="1"/>
        <rFont val="Arial"/>
        <family val="2"/>
      </rPr>
      <t>CH4</t>
    </r>
    <phoneticPr fontId="2" type="noConversion"/>
  </si>
  <si>
    <r>
      <t>t CO</t>
    </r>
    <r>
      <rPr>
        <vertAlign val="sub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>e/t CH</t>
    </r>
    <r>
      <rPr>
        <vertAlign val="subscript"/>
        <sz val="10"/>
        <color rgb="FF000000"/>
        <rFont val="Arial"/>
        <family val="2"/>
      </rPr>
      <t>4</t>
    </r>
  </si>
  <si>
    <t>VCS Standard (Version 4.2)</t>
  </si>
  <si>
    <r>
      <t>GWP</t>
    </r>
    <r>
      <rPr>
        <i/>
        <vertAlign val="subscript"/>
        <sz val="10"/>
        <color theme="1"/>
        <rFont val="Arial"/>
        <family val="2"/>
      </rPr>
      <t>N2O</t>
    </r>
    <phoneticPr fontId="2" type="noConversion"/>
  </si>
  <si>
    <t>t CO2e/t N2O</t>
    <phoneticPr fontId="2" type="noConversion"/>
  </si>
  <si>
    <r>
      <t>EF</t>
    </r>
    <r>
      <rPr>
        <i/>
        <vertAlign val="subscript"/>
        <sz val="10"/>
        <color theme="1"/>
        <rFont val="Arial"/>
        <family val="2"/>
      </rPr>
      <t>3,PRP,CPP</t>
    </r>
    <phoneticPr fontId="2" type="noConversion"/>
  </si>
  <si>
    <r>
      <t>kg N</t>
    </r>
    <r>
      <rPr>
        <vertAlign val="sub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>O-N/kg N input</t>
    </r>
  </si>
  <si>
    <t>2019 IPCC Refinement to the 2006 IPCC Guidelines for National Greenhouse Gas Inventories</t>
  </si>
  <si>
    <r>
      <t>EF</t>
    </r>
    <r>
      <rPr>
        <i/>
        <vertAlign val="subscript"/>
        <sz val="10"/>
        <color theme="1"/>
        <rFont val="Arial"/>
        <family val="2"/>
      </rPr>
      <t>3,PRP,SO</t>
    </r>
    <phoneticPr fontId="2" type="noConversion"/>
  </si>
  <si>
    <r>
      <t>EF</t>
    </r>
    <r>
      <rPr>
        <i/>
        <vertAlign val="subscript"/>
        <sz val="10"/>
        <color theme="1"/>
        <rFont val="Arial"/>
        <family val="2"/>
      </rPr>
      <t>l</t>
    </r>
    <phoneticPr fontId="2" type="noConversion"/>
  </si>
  <si>
    <t>Cattle</t>
    <phoneticPr fontId="2" type="noConversion"/>
  </si>
  <si>
    <r>
      <t>kg CH</t>
    </r>
    <r>
      <rPr>
        <vertAlign val="subscript"/>
        <sz val="10"/>
        <color rgb="FF000000"/>
        <rFont val="Arial"/>
        <family val="2"/>
      </rPr>
      <t>4</t>
    </r>
    <r>
      <rPr>
        <sz val="10"/>
        <color rgb="FF000000"/>
        <rFont val="Arial"/>
        <family val="2"/>
      </rPr>
      <t xml:space="preserve"> head*year</t>
    </r>
  </si>
  <si>
    <t>Sheep</t>
    <phoneticPr fontId="2" type="noConversion"/>
  </si>
  <si>
    <r>
      <t>EF</t>
    </r>
    <r>
      <rPr>
        <i/>
        <vertAlign val="subscript"/>
        <sz val="10"/>
        <color theme="1"/>
        <rFont val="Arial"/>
        <family val="2"/>
      </rPr>
      <t>l,m</t>
    </r>
    <phoneticPr fontId="2" type="noConversion"/>
  </si>
  <si>
    <r>
      <t>kg CH</t>
    </r>
    <r>
      <rPr>
        <vertAlign val="subscript"/>
        <sz val="10"/>
        <color rgb="FF3B3531"/>
        <rFont val="Arial"/>
        <family val="2"/>
      </rPr>
      <t>4</t>
    </r>
    <r>
      <rPr>
        <sz val="10"/>
        <color rgb="FF3B3531"/>
        <rFont val="Arial"/>
        <family val="2"/>
      </rPr>
      <t>/(head * year)</t>
    </r>
  </si>
  <si>
    <r>
      <t>P</t>
    </r>
    <r>
      <rPr>
        <i/>
        <vertAlign val="subscript"/>
        <sz val="10"/>
        <color theme="1"/>
        <rFont val="Arial"/>
        <family val="2"/>
      </rPr>
      <t>l,b</t>
    </r>
    <phoneticPr fontId="2" type="noConversion"/>
  </si>
  <si>
    <t>head</t>
  </si>
  <si>
    <t>Grazing Displacement Management Plan</t>
  </si>
  <si>
    <r>
      <t>W</t>
    </r>
    <r>
      <rPr>
        <i/>
        <vertAlign val="subscript"/>
        <sz val="10"/>
        <color theme="1"/>
        <rFont val="Arial"/>
        <family val="2"/>
      </rPr>
      <t>l,b</t>
    </r>
    <phoneticPr fontId="2" type="noConversion"/>
  </si>
  <si>
    <t>kg livestock mass/head</t>
  </si>
  <si>
    <t>PRA report</t>
    <phoneticPr fontId="2" type="noConversion"/>
  </si>
  <si>
    <r>
      <t>Nex</t>
    </r>
    <r>
      <rPr>
        <i/>
        <vertAlign val="subscript"/>
        <sz val="10"/>
        <color theme="1"/>
        <rFont val="Arial"/>
        <family val="2"/>
      </rPr>
      <t>l</t>
    </r>
    <phoneticPr fontId="2" type="noConversion"/>
  </si>
  <si>
    <t>kg N deposited /(t livestock mass*day)</t>
  </si>
  <si>
    <r>
      <t>H</t>
    </r>
    <r>
      <rPr>
        <i/>
        <vertAlign val="subscript"/>
        <sz val="10"/>
        <color theme="1"/>
        <rFont val="Arial"/>
        <family val="2"/>
      </rPr>
      <t>l,b</t>
    </r>
    <phoneticPr fontId="2" type="noConversion"/>
  </si>
  <si>
    <t>hour</t>
  </si>
  <si>
    <r>
      <t>Days</t>
    </r>
    <r>
      <rPr>
        <i/>
        <vertAlign val="subscript"/>
        <sz val="10"/>
        <color theme="1"/>
        <rFont val="Arial"/>
        <family val="2"/>
      </rPr>
      <t>l,b</t>
    </r>
    <phoneticPr fontId="2" type="noConversion"/>
  </si>
  <si>
    <t>days</t>
  </si>
  <si>
    <r>
      <t>Frac</t>
    </r>
    <r>
      <rPr>
        <i/>
        <vertAlign val="subscript"/>
        <sz val="10"/>
        <color theme="1"/>
        <rFont val="Arial"/>
        <family val="2"/>
      </rPr>
      <t>GAS,MD</t>
    </r>
    <phoneticPr fontId="2" type="noConversion"/>
  </si>
  <si>
    <t>kg N volatilized/kg of N deposited</t>
  </si>
  <si>
    <t>2019 IPCC Refinement to the 2006 IPCC Guidelines for National Greenhouse Gas Inventories</t>
    <phoneticPr fontId="2" type="noConversion"/>
  </si>
  <si>
    <r>
      <t>EF</t>
    </r>
    <r>
      <rPr>
        <i/>
        <vertAlign val="subscript"/>
        <sz val="10"/>
        <color theme="1"/>
        <rFont val="Arial"/>
        <family val="2"/>
      </rPr>
      <t>4,MD</t>
    </r>
    <phoneticPr fontId="2" type="noConversion"/>
  </si>
  <si>
    <t>kg N2O-N/(kg NH3-N + NOx-N volatilized)</t>
  </si>
  <si>
    <r>
      <t>1. Baseline CH</t>
    </r>
    <r>
      <rPr>
        <b/>
        <vertAlign val="subscript"/>
        <sz val="10"/>
        <color theme="1"/>
        <rFont val="Arial"/>
        <family val="2"/>
      </rPr>
      <t>4</t>
    </r>
    <r>
      <rPr>
        <b/>
        <sz val="10"/>
        <color theme="1"/>
        <rFont val="Arial"/>
        <family val="2"/>
      </rPr>
      <t xml:space="preserve"> emissions due to enteric fermentation</t>
    </r>
    <phoneticPr fontId="2" type="noConversion"/>
  </si>
  <si>
    <t>Calculated</t>
    <phoneticPr fontId="2" type="noConversion"/>
  </si>
  <si>
    <t xml:space="preserve"> </t>
  </si>
  <si>
    <t>2. Baseline N2O and CH4 emissions due to manure management</t>
    <phoneticPr fontId="2" type="noConversion"/>
  </si>
  <si>
    <r>
      <t>2.1  Baseline N</t>
    </r>
    <r>
      <rPr>
        <b/>
        <vertAlign val="sub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>O emissions from manure management</t>
    </r>
    <phoneticPr fontId="2" type="noConversion"/>
  </si>
  <si>
    <r>
      <t>2.1.1 Baseline direct N</t>
    </r>
    <r>
      <rPr>
        <b/>
        <vertAlign val="sub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>O emissions from manure and urine deposited on grassland soil</t>
    </r>
    <phoneticPr fontId="2" type="noConversion"/>
  </si>
  <si>
    <r>
      <t>2.1.2 Baseline indirect N</t>
    </r>
    <r>
      <rPr>
        <b/>
        <vertAlign val="sub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>O emissions from urine and manure N deposited on grassland soils</t>
    </r>
    <phoneticPr fontId="2" type="noConversion"/>
  </si>
  <si>
    <r>
      <t>BE</t>
    </r>
    <r>
      <rPr>
        <b/>
        <i/>
        <vertAlign val="subscript"/>
        <sz val="10"/>
        <color theme="1"/>
        <rFont val="Arial"/>
        <family val="2"/>
      </rPr>
      <t>D,N2OMD,b</t>
    </r>
    <phoneticPr fontId="2" type="noConversion"/>
  </si>
  <si>
    <t>t N2O</t>
  </si>
  <si>
    <r>
      <t>BE</t>
    </r>
    <r>
      <rPr>
        <b/>
        <i/>
        <vertAlign val="subscript"/>
        <sz val="10"/>
        <color theme="1"/>
        <rFont val="Arial"/>
        <family val="2"/>
      </rPr>
      <t>ID,N2OMD,b</t>
    </r>
    <phoneticPr fontId="2" type="noConversion"/>
  </si>
  <si>
    <r>
      <t>2.2 Baseline CH</t>
    </r>
    <r>
      <rPr>
        <b/>
        <vertAlign val="subscript"/>
        <sz val="10"/>
        <color theme="1"/>
        <rFont val="Arial"/>
        <family val="2"/>
      </rPr>
      <t>4</t>
    </r>
    <r>
      <rPr>
        <b/>
        <sz val="10"/>
        <color theme="1"/>
        <rFont val="Arial"/>
        <family val="2"/>
      </rPr>
      <t xml:space="preserve"> emissions from manure management</t>
    </r>
    <phoneticPr fontId="2" type="noConversion"/>
  </si>
  <si>
    <r>
      <t>t CO</t>
    </r>
    <r>
      <rPr>
        <vertAlign val="sub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>e</t>
    </r>
  </si>
  <si>
    <r>
      <t>PE</t>
    </r>
    <r>
      <rPr>
        <b/>
        <i/>
        <vertAlign val="subscript"/>
        <sz val="10"/>
        <color theme="1"/>
        <rFont val="Arial"/>
        <family val="2"/>
      </rPr>
      <t>CH4EF,t</t>
    </r>
    <phoneticPr fontId="2" type="noConversion"/>
  </si>
  <si>
    <r>
      <t>PE</t>
    </r>
    <r>
      <rPr>
        <b/>
        <i/>
        <vertAlign val="subscript"/>
        <sz val="10"/>
        <color theme="1"/>
        <rFont val="Arial"/>
        <family val="2"/>
      </rPr>
      <t>N2OMD,t</t>
    </r>
    <phoneticPr fontId="2" type="noConversion"/>
  </si>
  <si>
    <r>
      <t>PE</t>
    </r>
    <r>
      <rPr>
        <b/>
        <i/>
        <vertAlign val="subscript"/>
        <sz val="10"/>
        <color theme="1"/>
        <rFont val="Arial"/>
        <family val="2"/>
      </rPr>
      <t>CH4MD,t</t>
    </r>
    <phoneticPr fontId="2" type="noConversion"/>
  </si>
  <si>
    <r>
      <t>PE</t>
    </r>
    <r>
      <rPr>
        <b/>
        <i/>
        <vertAlign val="subscript"/>
        <sz val="10"/>
        <color theme="1"/>
        <rFont val="Arial"/>
        <family val="2"/>
      </rPr>
      <t>FC,t</t>
    </r>
    <phoneticPr fontId="2" type="noConversion"/>
  </si>
  <si>
    <t>2022 onward</t>
    <phoneticPr fontId="2" type="noConversion"/>
  </si>
  <si>
    <r>
      <t>P</t>
    </r>
    <r>
      <rPr>
        <i/>
        <vertAlign val="subscript"/>
        <sz val="10"/>
        <color theme="1"/>
        <rFont val="Arial"/>
        <family val="2"/>
      </rPr>
      <t>l,t</t>
    </r>
    <phoneticPr fontId="2" type="noConversion"/>
  </si>
  <si>
    <r>
      <t>W</t>
    </r>
    <r>
      <rPr>
        <i/>
        <vertAlign val="subscript"/>
        <sz val="10"/>
        <color theme="1"/>
        <rFont val="Arial"/>
        <family val="2"/>
      </rPr>
      <t>l,t</t>
    </r>
    <phoneticPr fontId="2" type="noConversion"/>
  </si>
  <si>
    <r>
      <t>H</t>
    </r>
    <r>
      <rPr>
        <i/>
        <vertAlign val="subscript"/>
        <sz val="10"/>
        <color theme="1"/>
        <rFont val="Arial"/>
        <family val="2"/>
      </rPr>
      <t>l,t</t>
    </r>
    <phoneticPr fontId="2" type="noConversion"/>
  </si>
  <si>
    <r>
      <t>Days</t>
    </r>
    <r>
      <rPr>
        <i/>
        <vertAlign val="subscript"/>
        <sz val="10"/>
        <color theme="1"/>
        <rFont val="Arial"/>
        <family val="2"/>
      </rPr>
      <t>l,t</t>
    </r>
    <phoneticPr fontId="2" type="noConversion"/>
  </si>
  <si>
    <r>
      <t>FC</t>
    </r>
    <r>
      <rPr>
        <i/>
        <vertAlign val="subscript"/>
        <sz val="10"/>
        <color theme="1"/>
        <rFont val="Arial"/>
        <family val="2"/>
      </rPr>
      <t>p,j,Diesel oil,t</t>
    </r>
    <phoneticPr fontId="2" type="noConversion"/>
  </si>
  <si>
    <t>kg fuel/year</t>
  </si>
  <si>
    <t>Project design report</t>
    <phoneticPr fontId="2" type="noConversion"/>
  </si>
  <si>
    <r>
      <t>EF</t>
    </r>
    <r>
      <rPr>
        <i/>
        <vertAlign val="subscript"/>
        <sz val="10"/>
        <color theme="1"/>
        <rFont val="Arial"/>
        <family val="2"/>
      </rPr>
      <t>CO2Diesel oil</t>
    </r>
    <phoneticPr fontId="2" type="noConversion"/>
  </si>
  <si>
    <r>
      <t>t CO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e/GJ</t>
    </r>
    <phoneticPr fontId="2" type="noConversion"/>
  </si>
  <si>
    <t>2006 IPCC Guidelines for National Greenhouse Gas Inventories</t>
  </si>
  <si>
    <r>
      <t>NCV</t>
    </r>
    <r>
      <rPr>
        <i/>
        <vertAlign val="subscript"/>
        <sz val="10"/>
        <color theme="1"/>
        <rFont val="Arial"/>
        <family val="2"/>
      </rPr>
      <t>Diesel oil</t>
    </r>
    <phoneticPr fontId="2" type="noConversion"/>
  </si>
  <si>
    <t>GJ/t fuel</t>
  </si>
  <si>
    <r>
      <t>1. Project CH</t>
    </r>
    <r>
      <rPr>
        <b/>
        <vertAlign val="subscript"/>
        <sz val="10"/>
        <color theme="1"/>
        <rFont val="Arial"/>
        <family val="2"/>
      </rPr>
      <t>4</t>
    </r>
    <r>
      <rPr>
        <b/>
        <sz val="10"/>
        <color theme="1"/>
        <rFont val="Arial"/>
        <family val="2"/>
      </rPr>
      <t xml:space="preserve"> emissions due to enteric fermentation</t>
    </r>
    <phoneticPr fontId="2" type="noConversion"/>
  </si>
  <si>
    <r>
      <t>2. Project N</t>
    </r>
    <r>
      <rPr>
        <b/>
        <vertAlign val="sub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>O and CH</t>
    </r>
    <r>
      <rPr>
        <b/>
        <vertAlign val="subscript"/>
        <sz val="10"/>
        <color theme="1"/>
        <rFont val="Arial"/>
        <family val="2"/>
      </rPr>
      <t>4</t>
    </r>
    <r>
      <rPr>
        <b/>
        <sz val="10"/>
        <color theme="1"/>
        <rFont val="Arial"/>
        <family val="2"/>
      </rPr>
      <t xml:space="preserve"> emissions due to manure management</t>
    </r>
    <phoneticPr fontId="2" type="noConversion"/>
  </si>
  <si>
    <r>
      <t>2.1 Project N</t>
    </r>
    <r>
      <rPr>
        <b/>
        <vertAlign val="sub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>O emissions from manure management</t>
    </r>
    <phoneticPr fontId="2" type="noConversion"/>
  </si>
  <si>
    <r>
      <t>PE</t>
    </r>
    <r>
      <rPr>
        <b/>
        <i/>
        <vertAlign val="subscript"/>
        <sz val="10"/>
        <color theme="1"/>
        <rFont val="Arial"/>
        <family val="2"/>
      </rPr>
      <t>D,N2OMD,t</t>
    </r>
    <phoneticPr fontId="2" type="noConversion"/>
  </si>
  <si>
    <r>
      <t>PE</t>
    </r>
    <r>
      <rPr>
        <b/>
        <i/>
        <vertAlign val="subscript"/>
        <sz val="10"/>
        <color theme="1"/>
        <rFont val="Arial"/>
        <family val="2"/>
      </rPr>
      <t>ID,N2OMD,t</t>
    </r>
    <phoneticPr fontId="2" type="noConversion"/>
  </si>
  <si>
    <r>
      <t>PE</t>
    </r>
    <r>
      <rPr>
        <b/>
        <i/>
        <vertAlign val="subscript"/>
        <sz val="10"/>
        <color theme="1"/>
        <rFont val="Arial"/>
        <family val="2"/>
      </rPr>
      <t>CH4MD,b</t>
    </r>
    <phoneticPr fontId="2" type="noConversion"/>
  </si>
  <si>
    <r>
      <t>3. Project CO</t>
    </r>
    <r>
      <rPr>
        <b/>
        <vertAlign val="sub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 xml:space="preserve"> emissions due to the use of fossil fuels</t>
    </r>
    <phoneticPr fontId="2" type="noConversion"/>
  </si>
  <si>
    <t>Calculated</t>
  </si>
  <si>
    <r>
      <t>LE</t>
    </r>
    <r>
      <rPr>
        <b/>
        <i/>
        <vertAlign val="subscript"/>
        <sz val="10"/>
        <color theme="1"/>
        <rFont val="Arial"/>
        <family val="2"/>
      </rPr>
      <t>GUI,CH4EF,t</t>
    </r>
    <phoneticPr fontId="2" type="noConversion"/>
  </si>
  <si>
    <r>
      <t>LE</t>
    </r>
    <r>
      <rPr>
        <b/>
        <i/>
        <vertAlign val="subscript"/>
        <sz val="10"/>
        <color theme="1"/>
        <rFont val="Arial"/>
        <family val="2"/>
      </rPr>
      <t>GUI,N2OMD,t</t>
    </r>
    <phoneticPr fontId="2" type="noConversion"/>
  </si>
  <si>
    <r>
      <t>LE</t>
    </r>
    <r>
      <rPr>
        <b/>
        <i/>
        <vertAlign val="subscript"/>
        <sz val="10"/>
        <color theme="1"/>
        <rFont val="Arial"/>
        <family val="2"/>
      </rPr>
      <t>GUI,CH4MD,t</t>
    </r>
    <phoneticPr fontId="2" type="noConversion"/>
  </si>
  <si>
    <r>
      <t>P</t>
    </r>
    <r>
      <rPr>
        <i/>
        <vertAlign val="subscript"/>
        <sz val="10"/>
        <color theme="1"/>
        <rFont val="Arial"/>
        <family val="2"/>
      </rPr>
      <t>GUI,l,t</t>
    </r>
    <phoneticPr fontId="2" type="noConversion"/>
  </si>
  <si>
    <r>
      <t>Days</t>
    </r>
    <r>
      <rPr>
        <i/>
        <vertAlign val="subscript"/>
        <sz val="10"/>
        <color theme="1"/>
        <rFont val="Arial"/>
        <family val="2"/>
      </rPr>
      <t>GUI,l,b</t>
    </r>
    <phoneticPr fontId="2" type="noConversion"/>
  </si>
  <si>
    <r>
      <t>DMI</t>
    </r>
    <r>
      <rPr>
        <i/>
        <vertAlign val="subscript"/>
        <sz val="10"/>
        <color theme="1"/>
        <rFont val="Arial"/>
        <family val="2"/>
      </rPr>
      <t>day,l</t>
    </r>
    <phoneticPr fontId="2" type="noConversion"/>
  </si>
  <si>
    <t>kg dm/(head*day)</t>
  </si>
  <si>
    <t>National standards</t>
  </si>
  <si>
    <r>
      <t>ANPP</t>
    </r>
    <r>
      <rPr>
        <i/>
        <vertAlign val="subscript"/>
        <sz val="10"/>
        <color theme="1"/>
        <rFont val="Arial"/>
        <family val="2"/>
      </rPr>
      <t>GUI,REF</t>
    </r>
    <phoneticPr fontId="2" type="noConversion"/>
  </si>
  <si>
    <t>t dm/ha</t>
  </si>
  <si>
    <t>Peer-review studys</t>
    <phoneticPr fontId="2" type="noConversion"/>
  </si>
  <si>
    <t>Estimate the area of grassland needed to sustain the population of livestock relocated to unidentified grasslands</t>
  </si>
  <si>
    <t>Average</t>
    <phoneticPr fontId="2" type="noConversion"/>
  </si>
  <si>
    <r>
      <t>Area</t>
    </r>
    <r>
      <rPr>
        <b/>
        <i/>
        <vertAlign val="subscript"/>
        <sz val="10"/>
        <color theme="1"/>
        <rFont val="Arial"/>
        <family val="2"/>
      </rPr>
      <t>GUI,t</t>
    </r>
    <phoneticPr fontId="2" type="noConversion"/>
  </si>
  <si>
    <t>ha</t>
    <phoneticPr fontId="2" type="noConversion"/>
  </si>
  <si>
    <t>1. Methane emissions from enteric fermentation by livestock displaced to unidentified grasslands</t>
    <phoneticPr fontId="2" type="noConversion"/>
  </si>
  <si>
    <t>2. GHG emissions from manure management</t>
    <phoneticPr fontId="2" type="noConversion"/>
  </si>
  <si>
    <r>
      <t>2.1 Leakage N</t>
    </r>
    <r>
      <rPr>
        <b/>
        <vertAlign val="sub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>O emissions from manure and urine deposited on unidentified grasslands</t>
    </r>
    <phoneticPr fontId="2" type="noConversion"/>
  </si>
  <si>
    <r>
      <t>2.1.1 Leakage direct N</t>
    </r>
    <r>
      <rPr>
        <b/>
        <vertAlign val="sub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>O emissions from manure and urine deposited on unidentified grasslands</t>
    </r>
    <phoneticPr fontId="2" type="noConversion"/>
  </si>
  <si>
    <r>
      <t>2.1.2 Leakage indirect N</t>
    </r>
    <r>
      <rPr>
        <b/>
        <vertAlign val="sub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>O emissions from urine and manure N deposited on grassland soils</t>
    </r>
    <phoneticPr fontId="2" type="noConversion"/>
  </si>
  <si>
    <r>
      <t>LE</t>
    </r>
    <r>
      <rPr>
        <b/>
        <i/>
        <vertAlign val="subscript"/>
        <sz val="10"/>
        <color theme="1"/>
        <rFont val="Arial"/>
        <family val="2"/>
      </rPr>
      <t>GUID,N2OMD,t</t>
    </r>
    <phoneticPr fontId="2" type="noConversion"/>
  </si>
  <si>
    <r>
      <t>LE</t>
    </r>
    <r>
      <rPr>
        <b/>
        <i/>
        <vertAlign val="subscript"/>
        <sz val="10"/>
        <color theme="1"/>
        <rFont val="Arial"/>
        <family val="2"/>
      </rPr>
      <t>GUI ID,N2OMD,t</t>
    </r>
    <phoneticPr fontId="2" type="noConversion"/>
  </si>
  <si>
    <r>
      <t>2.2 Leakage CH</t>
    </r>
    <r>
      <rPr>
        <b/>
        <vertAlign val="subscript"/>
        <sz val="10"/>
        <color theme="1"/>
        <rFont val="Arial"/>
        <family val="2"/>
      </rPr>
      <t>4</t>
    </r>
    <r>
      <rPr>
        <b/>
        <sz val="10"/>
        <color theme="1"/>
        <rFont val="Arial"/>
        <family val="2"/>
      </rPr>
      <t xml:space="preserve"> emissions from manure management</t>
    </r>
    <phoneticPr fontId="2" type="noConversion"/>
  </si>
  <si>
    <r>
      <t>LE</t>
    </r>
    <r>
      <rPr>
        <b/>
        <i/>
        <vertAlign val="subscript"/>
        <sz val="10"/>
        <color theme="1"/>
        <rFont val="Arial"/>
        <family val="2"/>
      </rPr>
      <t>GUI,CH4MD,b</t>
    </r>
    <phoneticPr fontId="2" type="noConversion"/>
  </si>
  <si>
    <t>Strata</t>
    <phoneticPr fontId="2" type="noConversion"/>
  </si>
  <si>
    <t>area (ha)</t>
    <phoneticPr fontId="2" type="noConversion"/>
  </si>
  <si>
    <t>Grassland type</t>
    <phoneticPr fontId="2" type="noConversion"/>
  </si>
  <si>
    <t xml:space="preserve">Management practice </t>
    <phoneticPr fontId="2" type="noConversion"/>
  </si>
  <si>
    <t>Soil texture</t>
    <phoneticPr fontId="2" type="noConversion"/>
  </si>
  <si>
    <t>Sample site</t>
    <phoneticPr fontId="2" type="noConversion"/>
  </si>
  <si>
    <t>Duration</t>
    <phoneticPr fontId="2" type="noConversion"/>
  </si>
  <si>
    <t>Average organic carbon content (May, July, September: g/kg)</t>
    <phoneticPr fontId="2" type="noConversion"/>
  </si>
  <si>
    <t>i</t>
    <phoneticPr fontId="2" type="noConversion"/>
  </si>
  <si>
    <t>Strata 1</t>
    <phoneticPr fontId="2" type="noConversion"/>
  </si>
  <si>
    <t>Strata 2</t>
  </si>
  <si>
    <t>Strata 3</t>
  </si>
  <si>
    <t>Strata 4</t>
  </si>
  <si>
    <t>Strata 5</t>
  </si>
  <si>
    <t>Strata 6</t>
  </si>
  <si>
    <t>Strata 7</t>
  </si>
  <si>
    <t>Strata 8</t>
  </si>
  <si>
    <t>Strata 9</t>
  </si>
  <si>
    <t>Strata 10</t>
  </si>
  <si>
    <t>Strata 11</t>
  </si>
  <si>
    <t>Strata 12</t>
  </si>
  <si>
    <t>Strata 13</t>
  </si>
  <si>
    <t>Strata 14</t>
  </si>
  <si>
    <t>Strata 15</t>
  </si>
  <si>
    <t>Strata 16</t>
  </si>
  <si>
    <t>Strata 17</t>
  </si>
  <si>
    <t>Strata 18</t>
  </si>
  <si>
    <t>total</t>
    <phoneticPr fontId="2" type="noConversion"/>
  </si>
  <si>
    <t>B</t>
    <phoneticPr fontId="2" type="noConversion"/>
  </si>
  <si>
    <t>Baseline</t>
    <phoneticPr fontId="2" type="noConversion"/>
  </si>
  <si>
    <r>
      <t>t CO</t>
    </r>
    <r>
      <rPr>
        <b/>
        <vertAlign val="subscript"/>
        <sz val="10"/>
        <color rgb="FF000000"/>
        <rFont val="Arial"/>
        <family val="2"/>
      </rPr>
      <t>2e</t>
    </r>
    <r>
      <rPr>
        <b/>
        <sz val="10"/>
        <color rgb="FF000000"/>
        <rFont val="Arial"/>
        <family val="2"/>
      </rPr>
      <t/>
    </r>
  </si>
  <si>
    <t>Desertification Grassland</t>
  </si>
  <si>
    <t>Rest grazing</t>
  </si>
  <si>
    <t xml:space="preserve">Sandy </t>
  </si>
  <si>
    <t>A1</t>
    <phoneticPr fontId="2" type="noConversion"/>
  </si>
  <si>
    <t>Sandy loam</t>
  </si>
  <si>
    <t>A2</t>
    <phoneticPr fontId="2" type="noConversion"/>
  </si>
  <si>
    <t>Reseeding grass</t>
  </si>
  <si>
    <t>A3</t>
    <phoneticPr fontId="2" type="noConversion"/>
  </si>
  <si>
    <r>
      <rPr>
        <b/>
        <sz val="10"/>
        <color theme="1"/>
        <rFont val="Arial"/>
        <family val="2"/>
      </rPr>
      <t xml:space="preserve">Data source: </t>
    </r>
    <r>
      <rPr>
        <sz val="10"/>
        <color theme="1"/>
        <rFont val="Arial"/>
        <family val="2"/>
      </rPr>
      <t>Zhou Xiaoyan.(2019) Impacts of different restoration years of returning grazing land to grassland on community characteristics and soil nutrients of alpine grassland in Maqu County  (Master's thesis, Northwest Normal University).</t>
    </r>
    <phoneticPr fontId="2" type="noConversion"/>
  </si>
  <si>
    <t xml:space="preserve">Rotational grazing </t>
  </si>
  <si>
    <t>Temperate grassland</t>
  </si>
  <si>
    <t>Loam</t>
  </si>
  <si>
    <t>Meadow grassland</t>
  </si>
  <si>
    <t>Annual average increase of SOC</t>
    <phoneticPr fontId="2" type="noConversion"/>
  </si>
  <si>
    <t>NO.</t>
    <phoneticPr fontId="2" type="noConversion"/>
  </si>
  <si>
    <r>
      <t>FC</t>
    </r>
    <r>
      <rPr>
        <b/>
        <vertAlign val="subscript"/>
        <sz val="10"/>
        <rFont val="Arial"/>
        <family val="2"/>
      </rPr>
      <t>1,1,i,2016</t>
    </r>
    <r>
      <rPr>
        <b/>
        <sz val="10"/>
        <rFont val="Arial"/>
        <family val="2"/>
      </rPr>
      <t>(%)</t>
    </r>
    <phoneticPr fontId="2" type="noConversion"/>
  </si>
  <si>
    <r>
      <t>BD</t>
    </r>
    <r>
      <rPr>
        <b/>
        <vertAlign val="subscript"/>
        <sz val="10"/>
        <rFont val="Arial"/>
        <family val="2"/>
      </rPr>
      <t>1,1,i,2016</t>
    </r>
    <r>
      <rPr>
        <b/>
        <sz val="10"/>
        <rFont val="Arial"/>
        <family val="2"/>
      </rPr>
      <t xml:space="preserve"> (g soil/cm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  <phoneticPr fontId="2" type="noConversion"/>
  </si>
  <si>
    <t>SOM(g/kg)</t>
    <phoneticPr fontId="2" type="noConversion"/>
  </si>
  <si>
    <r>
      <t>SOC</t>
    </r>
    <r>
      <rPr>
        <b/>
        <vertAlign val="subscript"/>
        <sz val="10"/>
        <rFont val="Arial"/>
        <family val="2"/>
      </rPr>
      <t>1,1,i,2016</t>
    </r>
    <r>
      <rPr>
        <b/>
        <sz val="10"/>
        <rFont val="Arial"/>
        <family val="2"/>
      </rPr>
      <t xml:space="preserve"> (g/kg)</t>
    </r>
    <phoneticPr fontId="2" type="noConversion"/>
  </si>
  <si>
    <t>Depth(cm)</t>
    <phoneticPr fontId="2" type="noConversion"/>
  </si>
  <si>
    <r>
      <t>SOC</t>
    </r>
    <r>
      <rPr>
        <b/>
        <vertAlign val="subscript"/>
        <sz val="10"/>
        <rFont val="Arial"/>
        <family val="2"/>
      </rPr>
      <t xml:space="preserve">1,baseline </t>
    </r>
    <r>
      <rPr>
        <b/>
        <sz val="10"/>
        <rFont val="Arial"/>
        <family val="2"/>
      </rPr>
      <t>(tC/ha)</t>
    </r>
    <phoneticPr fontId="2" type="noConversion"/>
  </si>
  <si>
    <t>Data source</t>
    <phoneticPr fontId="2" type="noConversion"/>
  </si>
  <si>
    <t>GTB-19</t>
  </si>
  <si>
    <t>Soil sampling test report</t>
    <phoneticPr fontId="2" type="noConversion"/>
  </si>
  <si>
    <t>GTB-21</t>
  </si>
  <si>
    <t>GTB-22</t>
  </si>
  <si>
    <t>GTB-23</t>
  </si>
  <si>
    <t>GTB-24</t>
  </si>
  <si>
    <t>GTB-25</t>
  </si>
  <si>
    <t>Preliminary samples mean value</t>
    <phoneticPr fontId="2" type="noConversion"/>
  </si>
  <si>
    <t>Preliminary samples SD</t>
    <phoneticPr fontId="2" type="noConversion"/>
  </si>
  <si>
    <t>Samples SD</t>
    <phoneticPr fontId="2" type="noConversion"/>
  </si>
  <si>
    <t>Samples Mean</t>
    <phoneticPr fontId="2" type="noConversion"/>
  </si>
  <si>
    <r>
      <t>FC</t>
    </r>
    <r>
      <rPr>
        <b/>
        <vertAlign val="subscript"/>
        <sz val="10"/>
        <rFont val="Arial"/>
        <family val="2"/>
      </rPr>
      <t>1,2,i,2016</t>
    </r>
    <r>
      <rPr>
        <b/>
        <sz val="10"/>
        <rFont val="Arial"/>
        <family val="2"/>
      </rPr>
      <t>(%)</t>
    </r>
    <phoneticPr fontId="2" type="noConversion"/>
  </si>
  <si>
    <r>
      <t>BD</t>
    </r>
    <r>
      <rPr>
        <b/>
        <vertAlign val="subscript"/>
        <sz val="10"/>
        <rFont val="Arial"/>
        <family val="2"/>
      </rPr>
      <t>1,2,i,2016</t>
    </r>
    <r>
      <rPr>
        <b/>
        <sz val="10"/>
        <rFont val="Arial"/>
        <family val="2"/>
      </rPr>
      <t xml:space="preserve"> (g soil/cm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  <phoneticPr fontId="2" type="noConversion"/>
  </si>
  <si>
    <r>
      <t>SOC</t>
    </r>
    <r>
      <rPr>
        <b/>
        <vertAlign val="subscript"/>
        <sz val="10"/>
        <rFont val="Arial"/>
        <family val="2"/>
      </rPr>
      <t>1,2,i,2016</t>
    </r>
    <r>
      <rPr>
        <b/>
        <sz val="10"/>
        <rFont val="Arial"/>
        <family val="2"/>
      </rPr>
      <t xml:space="preserve"> (g/kg)</t>
    </r>
    <phoneticPr fontId="2" type="noConversion"/>
  </si>
  <si>
    <r>
      <t>SOC</t>
    </r>
    <r>
      <rPr>
        <b/>
        <vertAlign val="subscript"/>
        <sz val="10"/>
        <rFont val="Arial"/>
        <family val="2"/>
      </rPr>
      <t xml:space="preserve">2,baseline </t>
    </r>
    <r>
      <rPr>
        <b/>
        <sz val="10"/>
        <rFont val="Arial"/>
        <family val="2"/>
      </rPr>
      <t>(tC/ha)</t>
    </r>
    <phoneticPr fontId="2" type="noConversion"/>
  </si>
  <si>
    <t>GTB-11</t>
  </si>
  <si>
    <t>GTB-12</t>
  </si>
  <si>
    <t>GTB-15</t>
  </si>
  <si>
    <t>GZB-01</t>
  </si>
  <si>
    <t>GZB-02</t>
  </si>
  <si>
    <t>GZB-03</t>
  </si>
  <si>
    <r>
      <t>FC</t>
    </r>
    <r>
      <rPr>
        <b/>
        <vertAlign val="subscript"/>
        <sz val="10"/>
        <rFont val="Arial"/>
        <family val="2"/>
      </rPr>
      <t>2,3,i,2016</t>
    </r>
    <r>
      <rPr>
        <b/>
        <sz val="10"/>
        <rFont val="Arial"/>
        <family val="2"/>
      </rPr>
      <t>(%)</t>
    </r>
    <phoneticPr fontId="2" type="noConversion"/>
  </si>
  <si>
    <r>
      <t>BD</t>
    </r>
    <r>
      <rPr>
        <b/>
        <vertAlign val="subscript"/>
        <sz val="10"/>
        <rFont val="Arial"/>
        <family val="2"/>
      </rPr>
      <t>2,3,i,2016</t>
    </r>
    <r>
      <rPr>
        <b/>
        <sz val="10"/>
        <rFont val="Arial"/>
        <family val="2"/>
      </rPr>
      <t xml:space="preserve"> (g soil/cm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  <phoneticPr fontId="2" type="noConversion"/>
  </si>
  <si>
    <r>
      <t>SOC</t>
    </r>
    <r>
      <rPr>
        <b/>
        <vertAlign val="subscript"/>
        <sz val="10"/>
        <rFont val="Arial"/>
        <family val="2"/>
      </rPr>
      <t>2,3,i,2016</t>
    </r>
    <r>
      <rPr>
        <b/>
        <sz val="10"/>
        <rFont val="Arial"/>
        <family val="2"/>
      </rPr>
      <t xml:space="preserve"> (g/kg)</t>
    </r>
    <phoneticPr fontId="2" type="noConversion"/>
  </si>
  <si>
    <r>
      <t>SOC</t>
    </r>
    <r>
      <rPr>
        <b/>
        <vertAlign val="subscript"/>
        <sz val="10"/>
        <rFont val="Arial"/>
        <family val="2"/>
      </rPr>
      <t xml:space="preserve">3,baseline </t>
    </r>
    <r>
      <rPr>
        <b/>
        <sz val="10"/>
        <rFont val="Arial"/>
        <family val="2"/>
      </rPr>
      <t>(tC/ha)</t>
    </r>
    <phoneticPr fontId="2" type="noConversion"/>
  </si>
  <si>
    <t>GTB-02</t>
  </si>
  <si>
    <t>GTB-09</t>
  </si>
  <si>
    <t>GTB-10</t>
  </si>
  <si>
    <t>GTB-20</t>
  </si>
  <si>
    <t>SNB-13</t>
  </si>
  <si>
    <t>SNB-14</t>
  </si>
  <si>
    <r>
      <t>FC</t>
    </r>
    <r>
      <rPr>
        <b/>
        <vertAlign val="subscript"/>
        <sz val="10"/>
        <rFont val="Arial"/>
        <family val="2"/>
      </rPr>
      <t>2,4,i,2016</t>
    </r>
    <r>
      <rPr>
        <b/>
        <sz val="10"/>
        <rFont val="Arial"/>
        <family val="2"/>
      </rPr>
      <t>(%)</t>
    </r>
    <phoneticPr fontId="2" type="noConversion"/>
  </si>
  <si>
    <r>
      <t>BD</t>
    </r>
    <r>
      <rPr>
        <b/>
        <vertAlign val="subscript"/>
        <sz val="10"/>
        <rFont val="Arial"/>
        <family val="2"/>
      </rPr>
      <t>2,4,i,2016</t>
    </r>
    <r>
      <rPr>
        <b/>
        <sz val="10"/>
        <rFont val="Arial"/>
        <family val="2"/>
      </rPr>
      <t xml:space="preserve"> (g soil/cm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  <phoneticPr fontId="2" type="noConversion"/>
  </si>
  <si>
    <r>
      <t>SOC</t>
    </r>
    <r>
      <rPr>
        <b/>
        <vertAlign val="subscript"/>
        <sz val="10"/>
        <rFont val="Arial"/>
        <family val="2"/>
      </rPr>
      <t>2,4,i,2016</t>
    </r>
    <r>
      <rPr>
        <b/>
        <sz val="10"/>
        <rFont val="Arial"/>
        <family val="2"/>
      </rPr>
      <t xml:space="preserve"> (g/kg)</t>
    </r>
    <phoneticPr fontId="2" type="noConversion"/>
  </si>
  <si>
    <r>
      <t>SOC</t>
    </r>
    <r>
      <rPr>
        <b/>
        <vertAlign val="subscript"/>
        <sz val="10"/>
        <rFont val="Arial"/>
        <family val="2"/>
      </rPr>
      <t xml:space="preserve">4,baseline </t>
    </r>
    <r>
      <rPr>
        <b/>
        <sz val="10"/>
        <rFont val="Arial"/>
        <family val="2"/>
      </rPr>
      <t>(tC/ha)</t>
    </r>
    <phoneticPr fontId="2" type="noConversion"/>
  </si>
  <si>
    <t>GTB-01</t>
  </si>
  <si>
    <t>GTB-07</t>
  </si>
  <si>
    <t>MLB-01</t>
  </si>
  <si>
    <t>MLB-03</t>
  </si>
  <si>
    <t>SDB-05</t>
  </si>
  <si>
    <t>SDB-06</t>
  </si>
  <si>
    <r>
      <t>FC</t>
    </r>
    <r>
      <rPr>
        <b/>
        <vertAlign val="subscript"/>
        <sz val="10"/>
        <rFont val="Arial"/>
        <family val="2"/>
      </rPr>
      <t>3,5,i,2016</t>
    </r>
    <r>
      <rPr>
        <b/>
        <sz val="10"/>
        <rFont val="Arial"/>
        <family val="2"/>
      </rPr>
      <t>(%)</t>
    </r>
    <phoneticPr fontId="2" type="noConversion"/>
  </si>
  <si>
    <r>
      <t>BD</t>
    </r>
    <r>
      <rPr>
        <b/>
        <vertAlign val="subscript"/>
        <sz val="10"/>
        <rFont val="Arial"/>
        <family val="2"/>
      </rPr>
      <t>3,5,i,2016</t>
    </r>
    <r>
      <rPr>
        <b/>
        <sz val="10"/>
        <rFont val="Arial"/>
        <family val="2"/>
      </rPr>
      <t xml:space="preserve"> (g soil/cm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  <phoneticPr fontId="2" type="noConversion"/>
  </si>
  <si>
    <r>
      <t>SOC</t>
    </r>
    <r>
      <rPr>
        <b/>
        <vertAlign val="subscript"/>
        <sz val="10"/>
        <rFont val="Arial"/>
        <family val="2"/>
      </rPr>
      <t>3,5,i,2016</t>
    </r>
    <r>
      <rPr>
        <b/>
        <sz val="10"/>
        <rFont val="Arial"/>
        <family val="2"/>
      </rPr>
      <t xml:space="preserve"> (g/kg)</t>
    </r>
    <phoneticPr fontId="2" type="noConversion"/>
  </si>
  <si>
    <r>
      <t>SOC</t>
    </r>
    <r>
      <rPr>
        <b/>
        <vertAlign val="subscript"/>
        <sz val="10"/>
        <rFont val="Arial"/>
        <family val="2"/>
      </rPr>
      <t xml:space="preserve">5,baseline </t>
    </r>
    <r>
      <rPr>
        <b/>
        <sz val="10"/>
        <rFont val="Arial"/>
        <family val="2"/>
      </rPr>
      <t>(tC/ha)</t>
    </r>
    <phoneticPr fontId="2" type="noConversion"/>
  </si>
  <si>
    <t>GTB-17</t>
  </si>
  <si>
    <t>MLB-02</t>
  </si>
  <si>
    <t>SDMCB-06</t>
  </si>
  <si>
    <t>SNB-07</t>
  </si>
  <si>
    <t>SNB-08</t>
  </si>
  <si>
    <t>SNB-11</t>
  </si>
  <si>
    <r>
      <t>BD</t>
    </r>
    <r>
      <rPr>
        <b/>
        <vertAlign val="subscript"/>
        <sz val="10"/>
        <rFont val="Arial"/>
        <family val="2"/>
      </rPr>
      <t>3,6,i,2016</t>
    </r>
    <r>
      <rPr>
        <b/>
        <sz val="10"/>
        <rFont val="Arial"/>
        <family val="2"/>
      </rPr>
      <t xml:space="preserve"> (g soil/cm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  <phoneticPr fontId="2" type="noConversion"/>
  </si>
  <si>
    <r>
      <t>SOC</t>
    </r>
    <r>
      <rPr>
        <b/>
        <vertAlign val="subscript"/>
        <sz val="10"/>
        <rFont val="Arial"/>
        <family val="2"/>
      </rPr>
      <t>3,6,i,2016</t>
    </r>
    <r>
      <rPr>
        <b/>
        <sz val="10"/>
        <rFont val="Arial"/>
        <family val="2"/>
      </rPr>
      <t xml:space="preserve"> (g/kg)</t>
    </r>
    <phoneticPr fontId="2" type="noConversion"/>
  </si>
  <si>
    <r>
      <t>SOC</t>
    </r>
    <r>
      <rPr>
        <b/>
        <vertAlign val="subscript"/>
        <sz val="10"/>
        <rFont val="Arial"/>
        <family val="2"/>
      </rPr>
      <t xml:space="preserve">baseline </t>
    </r>
    <r>
      <rPr>
        <b/>
        <sz val="10"/>
        <rFont val="Arial"/>
        <family val="2"/>
      </rPr>
      <t>(tC/ha)</t>
    </r>
    <phoneticPr fontId="2" type="noConversion"/>
  </si>
  <si>
    <t>GTB-08</t>
  </si>
  <si>
    <t>GTB-13</t>
  </si>
  <si>
    <t>GTB-14</t>
  </si>
  <si>
    <t>GTB-16</t>
  </si>
  <si>
    <t>SNB-09</t>
  </si>
  <si>
    <t>SNB-10</t>
  </si>
  <si>
    <r>
      <t>FC</t>
    </r>
    <r>
      <rPr>
        <b/>
        <vertAlign val="subscript"/>
        <sz val="10"/>
        <rFont val="Arial"/>
        <family val="2"/>
      </rPr>
      <t>1,7,i,2016</t>
    </r>
    <r>
      <rPr>
        <b/>
        <sz val="10"/>
        <rFont val="Arial"/>
        <family val="2"/>
      </rPr>
      <t>(%)</t>
    </r>
    <phoneticPr fontId="2" type="noConversion"/>
  </si>
  <si>
    <r>
      <t>BD</t>
    </r>
    <r>
      <rPr>
        <b/>
        <vertAlign val="subscript"/>
        <sz val="10"/>
        <rFont val="Arial"/>
        <family val="2"/>
      </rPr>
      <t>1,7,i,2016</t>
    </r>
    <r>
      <rPr>
        <b/>
        <sz val="10"/>
        <rFont val="Arial"/>
        <family val="2"/>
      </rPr>
      <t xml:space="preserve"> (g soil/cm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  <phoneticPr fontId="2" type="noConversion"/>
  </si>
  <si>
    <r>
      <t>SOC</t>
    </r>
    <r>
      <rPr>
        <b/>
        <vertAlign val="subscript"/>
        <sz val="10"/>
        <rFont val="Arial"/>
        <family val="2"/>
      </rPr>
      <t>1,7,i,2016</t>
    </r>
    <r>
      <rPr>
        <b/>
        <sz val="10"/>
        <rFont val="Arial"/>
        <family val="2"/>
      </rPr>
      <t xml:space="preserve"> (g/kg)</t>
    </r>
    <phoneticPr fontId="2" type="noConversion"/>
  </si>
  <si>
    <r>
      <t>SOC</t>
    </r>
    <r>
      <rPr>
        <b/>
        <vertAlign val="subscript"/>
        <sz val="10"/>
        <rFont val="Arial"/>
        <family val="2"/>
      </rPr>
      <t xml:space="preserve">7,baseline </t>
    </r>
    <r>
      <rPr>
        <b/>
        <sz val="10"/>
        <rFont val="Arial"/>
        <family val="2"/>
      </rPr>
      <t>(tC/ha)</t>
    </r>
    <phoneticPr fontId="2" type="noConversion"/>
  </si>
  <si>
    <t>GTB-03</t>
  </si>
  <si>
    <t>GTB-04</t>
  </si>
  <si>
    <t>GTB-06</t>
  </si>
  <si>
    <t>SDMCB-07</t>
  </si>
  <si>
    <t>SDMCB-17</t>
  </si>
  <si>
    <t>SDMCB-24</t>
  </si>
  <si>
    <r>
      <t>FC</t>
    </r>
    <r>
      <rPr>
        <b/>
        <vertAlign val="subscript"/>
        <sz val="10"/>
        <rFont val="Arial"/>
        <family val="2"/>
      </rPr>
      <t>1,8,i,2016</t>
    </r>
    <r>
      <rPr>
        <b/>
        <sz val="10"/>
        <rFont val="Arial"/>
        <family val="2"/>
      </rPr>
      <t>(%)</t>
    </r>
    <phoneticPr fontId="2" type="noConversion"/>
  </si>
  <si>
    <r>
      <t>BD</t>
    </r>
    <r>
      <rPr>
        <b/>
        <vertAlign val="subscript"/>
        <sz val="10"/>
        <rFont val="Arial"/>
        <family val="2"/>
      </rPr>
      <t>1,8,i,2016</t>
    </r>
    <r>
      <rPr>
        <b/>
        <sz val="10"/>
        <rFont val="Arial"/>
        <family val="2"/>
      </rPr>
      <t xml:space="preserve"> (g soil/cm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  <phoneticPr fontId="2" type="noConversion"/>
  </si>
  <si>
    <r>
      <t>SOC</t>
    </r>
    <r>
      <rPr>
        <b/>
        <vertAlign val="subscript"/>
        <sz val="10"/>
        <rFont val="Arial"/>
        <family val="2"/>
      </rPr>
      <t>1,8,i,2016</t>
    </r>
    <r>
      <rPr>
        <b/>
        <sz val="10"/>
        <rFont val="Arial"/>
        <family val="2"/>
      </rPr>
      <t xml:space="preserve"> (g/kg)</t>
    </r>
    <phoneticPr fontId="2" type="noConversion"/>
  </si>
  <si>
    <r>
      <t>SOC</t>
    </r>
    <r>
      <rPr>
        <b/>
        <vertAlign val="subscript"/>
        <sz val="10"/>
        <color theme="1"/>
        <rFont val="Arial"/>
        <family val="2"/>
      </rPr>
      <t xml:space="preserve">8,baseline </t>
    </r>
    <r>
      <rPr>
        <b/>
        <sz val="10"/>
        <color theme="1"/>
        <rFont val="Arial"/>
        <family val="2"/>
      </rPr>
      <t>(tC/ha)</t>
    </r>
    <phoneticPr fontId="2" type="noConversion"/>
  </si>
  <si>
    <t>GTB-05</t>
  </si>
  <si>
    <t>GTB-18</t>
  </si>
  <si>
    <t>MLB-08</t>
  </si>
  <si>
    <t>MLB-09</t>
  </si>
  <si>
    <t>SDB-01</t>
  </si>
  <si>
    <t>SDB-04</t>
  </si>
  <si>
    <t>SDB-07</t>
  </si>
  <si>
    <t>SDMCB-04</t>
  </si>
  <si>
    <t>SDMCB-05</t>
  </si>
  <si>
    <r>
      <t>FC</t>
    </r>
    <r>
      <rPr>
        <b/>
        <vertAlign val="subscript"/>
        <sz val="10"/>
        <rFont val="Arial"/>
        <family val="2"/>
      </rPr>
      <t>2,9,i,2016</t>
    </r>
    <r>
      <rPr>
        <b/>
        <sz val="10"/>
        <rFont val="Arial"/>
        <family val="2"/>
      </rPr>
      <t>(%)</t>
    </r>
    <phoneticPr fontId="2" type="noConversion"/>
  </si>
  <si>
    <r>
      <t>BD</t>
    </r>
    <r>
      <rPr>
        <b/>
        <vertAlign val="subscript"/>
        <sz val="10"/>
        <rFont val="Arial"/>
        <family val="2"/>
      </rPr>
      <t>2,9,i,2016</t>
    </r>
    <r>
      <rPr>
        <b/>
        <sz val="10"/>
        <rFont val="Arial"/>
        <family val="2"/>
      </rPr>
      <t xml:space="preserve"> (g soil/cm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  <phoneticPr fontId="2" type="noConversion"/>
  </si>
  <si>
    <r>
      <t>SOC</t>
    </r>
    <r>
      <rPr>
        <b/>
        <vertAlign val="subscript"/>
        <sz val="10"/>
        <rFont val="Arial"/>
        <family val="2"/>
      </rPr>
      <t>2,9,i,2016</t>
    </r>
    <r>
      <rPr>
        <b/>
        <sz val="10"/>
        <rFont val="Arial"/>
        <family val="2"/>
      </rPr>
      <t xml:space="preserve"> (g/kg)</t>
    </r>
    <phoneticPr fontId="2" type="noConversion"/>
  </si>
  <si>
    <r>
      <t>SOC</t>
    </r>
    <r>
      <rPr>
        <b/>
        <vertAlign val="subscript"/>
        <sz val="10"/>
        <rFont val="Arial"/>
        <family val="2"/>
      </rPr>
      <t xml:space="preserve">9,baseline </t>
    </r>
    <r>
      <rPr>
        <b/>
        <sz val="10"/>
        <rFont val="Arial"/>
        <family val="2"/>
      </rPr>
      <t>(tC/ha)</t>
    </r>
    <phoneticPr fontId="2" type="noConversion"/>
  </si>
  <si>
    <t>SDMCB-01</t>
  </si>
  <si>
    <t>SDMCB-20</t>
  </si>
  <si>
    <t>SDMCB-22</t>
  </si>
  <si>
    <t>SDMCB-23</t>
  </si>
  <si>
    <t>SNB-32</t>
  </si>
  <si>
    <t>SNB-35</t>
  </si>
  <si>
    <r>
      <t>FC</t>
    </r>
    <r>
      <rPr>
        <b/>
        <vertAlign val="subscript"/>
        <sz val="10"/>
        <rFont val="Arial"/>
        <family val="2"/>
      </rPr>
      <t>2,10,i,2016</t>
    </r>
    <r>
      <rPr>
        <b/>
        <sz val="10"/>
        <rFont val="Arial"/>
        <family val="2"/>
      </rPr>
      <t>(%)</t>
    </r>
    <phoneticPr fontId="2" type="noConversion"/>
  </si>
  <si>
    <r>
      <t>BD</t>
    </r>
    <r>
      <rPr>
        <b/>
        <vertAlign val="subscript"/>
        <sz val="10"/>
        <rFont val="Arial"/>
        <family val="2"/>
      </rPr>
      <t>2,10,i,2016</t>
    </r>
    <r>
      <rPr>
        <b/>
        <sz val="10"/>
        <rFont val="Arial"/>
        <family val="2"/>
      </rPr>
      <t xml:space="preserve"> (g soil/cm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  <phoneticPr fontId="2" type="noConversion"/>
  </si>
  <si>
    <r>
      <t>SOC</t>
    </r>
    <r>
      <rPr>
        <b/>
        <vertAlign val="subscript"/>
        <sz val="10"/>
        <rFont val="Arial"/>
        <family val="2"/>
      </rPr>
      <t>2,10,i,2016</t>
    </r>
    <r>
      <rPr>
        <b/>
        <sz val="10"/>
        <rFont val="Arial"/>
        <family val="2"/>
      </rPr>
      <t xml:space="preserve"> (g/kg)</t>
    </r>
    <phoneticPr fontId="2" type="noConversion"/>
  </si>
  <si>
    <r>
      <t>SOC</t>
    </r>
    <r>
      <rPr>
        <b/>
        <vertAlign val="subscript"/>
        <sz val="10"/>
        <rFont val="Arial"/>
        <family val="2"/>
      </rPr>
      <t xml:space="preserve">10,baseline </t>
    </r>
    <r>
      <rPr>
        <b/>
        <sz val="10"/>
        <rFont val="Arial"/>
        <family val="2"/>
      </rPr>
      <t>(tC/ha)</t>
    </r>
    <phoneticPr fontId="2" type="noConversion"/>
  </si>
  <si>
    <t>MLB-07</t>
  </si>
  <si>
    <t>MLB-10</t>
  </si>
  <si>
    <t>SDB-08</t>
  </si>
  <si>
    <t>SDMCB-10</t>
  </si>
  <si>
    <t>SDMCB-11</t>
  </si>
  <si>
    <t>SDMCB-12</t>
  </si>
  <si>
    <t>SDMCB-19</t>
  </si>
  <si>
    <t>SDMCB-21</t>
  </si>
  <si>
    <t>SNB-15</t>
  </si>
  <si>
    <r>
      <t>FC</t>
    </r>
    <r>
      <rPr>
        <b/>
        <vertAlign val="subscript"/>
        <sz val="10"/>
        <rFont val="Arial"/>
        <family val="2"/>
      </rPr>
      <t>3,11,i,2016</t>
    </r>
    <r>
      <rPr>
        <b/>
        <sz val="10"/>
        <rFont val="Arial"/>
        <family val="2"/>
      </rPr>
      <t>(%)</t>
    </r>
    <phoneticPr fontId="2" type="noConversion"/>
  </si>
  <si>
    <r>
      <t>BD</t>
    </r>
    <r>
      <rPr>
        <b/>
        <vertAlign val="subscript"/>
        <sz val="10"/>
        <rFont val="Arial"/>
        <family val="2"/>
      </rPr>
      <t>3,11,i,2016</t>
    </r>
    <r>
      <rPr>
        <b/>
        <sz val="10"/>
        <rFont val="Arial"/>
        <family val="2"/>
      </rPr>
      <t xml:space="preserve"> (g soil/cm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  <phoneticPr fontId="2" type="noConversion"/>
  </si>
  <si>
    <r>
      <t>SOC</t>
    </r>
    <r>
      <rPr>
        <b/>
        <vertAlign val="subscript"/>
        <sz val="10"/>
        <rFont val="Arial"/>
        <family val="2"/>
      </rPr>
      <t>3,11,i,2016</t>
    </r>
    <r>
      <rPr>
        <b/>
        <sz val="10"/>
        <rFont val="Arial"/>
        <family val="2"/>
      </rPr>
      <t xml:space="preserve"> (g/kg)</t>
    </r>
    <phoneticPr fontId="2" type="noConversion"/>
  </si>
  <si>
    <r>
      <t>SOC</t>
    </r>
    <r>
      <rPr>
        <b/>
        <vertAlign val="subscript"/>
        <sz val="10"/>
        <rFont val="Arial"/>
        <family val="2"/>
      </rPr>
      <t xml:space="preserve">11,baseline </t>
    </r>
    <r>
      <rPr>
        <b/>
        <sz val="10"/>
        <rFont val="Arial"/>
        <family val="2"/>
      </rPr>
      <t>(tC/ha)</t>
    </r>
    <phoneticPr fontId="2" type="noConversion"/>
  </si>
  <si>
    <t>SDB-02</t>
    <phoneticPr fontId="2" type="noConversion"/>
  </si>
  <si>
    <t>SDB-09</t>
  </si>
  <si>
    <t>SDMCB-26</t>
  </si>
  <si>
    <t>SNB-01</t>
  </si>
  <si>
    <t>SNB-31</t>
  </si>
  <si>
    <t>SNB-33</t>
  </si>
  <si>
    <r>
      <t>FC</t>
    </r>
    <r>
      <rPr>
        <b/>
        <vertAlign val="subscript"/>
        <sz val="10"/>
        <rFont val="Arial"/>
        <family val="2"/>
      </rPr>
      <t>3,12,i,2016</t>
    </r>
    <r>
      <rPr>
        <b/>
        <sz val="10"/>
        <rFont val="Arial"/>
        <family val="2"/>
      </rPr>
      <t>(%)</t>
    </r>
    <phoneticPr fontId="2" type="noConversion"/>
  </si>
  <si>
    <r>
      <t>BD</t>
    </r>
    <r>
      <rPr>
        <b/>
        <vertAlign val="subscript"/>
        <sz val="10"/>
        <rFont val="Arial"/>
        <family val="2"/>
      </rPr>
      <t>3,12,i,2016</t>
    </r>
    <r>
      <rPr>
        <b/>
        <sz val="10"/>
        <rFont val="Arial"/>
        <family val="2"/>
      </rPr>
      <t xml:space="preserve"> (g soil/cm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  <phoneticPr fontId="2" type="noConversion"/>
  </si>
  <si>
    <r>
      <t>SOC</t>
    </r>
    <r>
      <rPr>
        <b/>
        <vertAlign val="subscript"/>
        <sz val="10"/>
        <rFont val="Arial"/>
        <family val="2"/>
      </rPr>
      <t>3,12,i,2016</t>
    </r>
    <r>
      <rPr>
        <b/>
        <sz val="10"/>
        <rFont val="Arial"/>
        <family val="2"/>
      </rPr>
      <t xml:space="preserve"> (g/kg)</t>
    </r>
    <phoneticPr fontId="2" type="noConversion"/>
  </si>
  <si>
    <r>
      <t>SOC</t>
    </r>
    <r>
      <rPr>
        <b/>
        <vertAlign val="subscript"/>
        <sz val="10"/>
        <rFont val="Arial"/>
        <family val="2"/>
      </rPr>
      <t xml:space="preserve">12,baseline </t>
    </r>
    <r>
      <rPr>
        <b/>
        <sz val="10"/>
        <rFont val="Arial"/>
        <family val="2"/>
      </rPr>
      <t>(tC/ha)</t>
    </r>
    <phoneticPr fontId="2" type="noConversion"/>
  </si>
  <si>
    <t>MLB-05</t>
  </si>
  <si>
    <t>SDMCB-02</t>
  </si>
  <si>
    <t>SDMCB-09</t>
  </si>
  <si>
    <t>SDMCB-13</t>
  </si>
  <si>
    <t>SDMCB-16</t>
  </si>
  <si>
    <t>SDMCB-25</t>
  </si>
  <si>
    <t>SDMCB-27</t>
  </si>
  <si>
    <t>SNB-02</t>
  </si>
  <si>
    <t>SNB-36</t>
  </si>
  <si>
    <r>
      <t>FC</t>
    </r>
    <r>
      <rPr>
        <b/>
        <vertAlign val="subscript"/>
        <sz val="10"/>
        <rFont val="Arial"/>
        <family val="2"/>
      </rPr>
      <t>1,13,i,2016</t>
    </r>
    <r>
      <rPr>
        <b/>
        <sz val="10"/>
        <rFont val="Arial"/>
        <family val="2"/>
      </rPr>
      <t>(%)</t>
    </r>
    <phoneticPr fontId="2" type="noConversion"/>
  </si>
  <si>
    <r>
      <t>BD</t>
    </r>
    <r>
      <rPr>
        <b/>
        <vertAlign val="subscript"/>
        <sz val="10"/>
        <rFont val="Arial"/>
        <family val="2"/>
      </rPr>
      <t>1,13,i,2016</t>
    </r>
    <r>
      <rPr>
        <b/>
        <sz val="10"/>
        <rFont val="Arial"/>
        <family val="2"/>
      </rPr>
      <t xml:space="preserve"> (g soil/cm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  <phoneticPr fontId="2" type="noConversion"/>
  </si>
  <si>
    <r>
      <t>SOC</t>
    </r>
    <r>
      <rPr>
        <b/>
        <vertAlign val="subscript"/>
        <sz val="10"/>
        <rFont val="Arial"/>
        <family val="2"/>
      </rPr>
      <t>1,13,i,2016</t>
    </r>
    <r>
      <rPr>
        <b/>
        <sz val="10"/>
        <rFont val="Arial"/>
        <family val="2"/>
      </rPr>
      <t xml:space="preserve"> (g/kg)</t>
    </r>
    <phoneticPr fontId="2" type="noConversion"/>
  </si>
  <si>
    <r>
      <t>SOC</t>
    </r>
    <r>
      <rPr>
        <b/>
        <vertAlign val="subscript"/>
        <sz val="10"/>
        <rFont val="Arial"/>
        <family val="2"/>
      </rPr>
      <t xml:space="preserve">13,baseline </t>
    </r>
    <r>
      <rPr>
        <b/>
        <sz val="10"/>
        <rFont val="Arial"/>
        <family val="2"/>
      </rPr>
      <t>(tC/ha)</t>
    </r>
    <phoneticPr fontId="2" type="noConversion"/>
  </si>
  <si>
    <t>SDMCB-03</t>
  </si>
  <si>
    <t>SDMCB-14</t>
  </si>
  <si>
    <t>SNB-04</t>
  </si>
  <si>
    <t>SNB-34</t>
  </si>
  <si>
    <t>SNB-41</t>
  </si>
  <si>
    <t>SNB-43</t>
  </si>
  <si>
    <r>
      <t>FC</t>
    </r>
    <r>
      <rPr>
        <b/>
        <vertAlign val="subscript"/>
        <sz val="10"/>
        <rFont val="Arial"/>
        <family val="2"/>
      </rPr>
      <t>1,14,i,2016</t>
    </r>
    <r>
      <rPr>
        <b/>
        <sz val="10"/>
        <rFont val="Arial"/>
        <family val="2"/>
      </rPr>
      <t>(%)</t>
    </r>
    <phoneticPr fontId="2" type="noConversion"/>
  </si>
  <si>
    <r>
      <t>BD</t>
    </r>
    <r>
      <rPr>
        <b/>
        <vertAlign val="subscript"/>
        <sz val="10"/>
        <rFont val="Arial"/>
        <family val="2"/>
      </rPr>
      <t>1,14,i,2016</t>
    </r>
    <r>
      <rPr>
        <b/>
        <sz val="10"/>
        <rFont val="Arial"/>
        <family val="2"/>
      </rPr>
      <t xml:space="preserve"> (g soil/cm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  <phoneticPr fontId="2" type="noConversion"/>
  </si>
  <si>
    <r>
      <t>SOC</t>
    </r>
    <r>
      <rPr>
        <b/>
        <vertAlign val="subscript"/>
        <sz val="10"/>
        <rFont val="Arial"/>
        <family val="2"/>
      </rPr>
      <t>1,14,i,2016</t>
    </r>
    <r>
      <rPr>
        <b/>
        <sz val="10"/>
        <rFont val="Arial"/>
        <family val="2"/>
      </rPr>
      <t xml:space="preserve"> (g/kg)</t>
    </r>
    <phoneticPr fontId="2" type="noConversion"/>
  </si>
  <si>
    <r>
      <t>SOC</t>
    </r>
    <r>
      <rPr>
        <b/>
        <vertAlign val="subscript"/>
        <sz val="10"/>
        <rFont val="Arial"/>
        <family val="2"/>
      </rPr>
      <t xml:space="preserve">14,baseline </t>
    </r>
    <r>
      <rPr>
        <b/>
        <sz val="10"/>
        <rFont val="Arial"/>
        <family val="2"/>
      </rPr>
      <t>(tC/ha)</t>
    </r>
    <phoneticPr fontId="2" type="noConversion"/>
  </si>
  <si>
    <t>SNB-12</t>
  </si>
  <si>
    <t>SNB-16</t>
  </si>
  <si>
    <t>SNB-17</t>
  </si>
  <si>
    <t>SNB-29</t>
  </si>
  <si>
    <t>SNB-39</t>
  </si>
  <si>
    <t>SNB-42</t>
  </si>
  <si>
    <r>
      <t>FC</t>
    </r>
    <r>
      <rPr>
        <b/>
        <vertAlign val="subscript"/>
        <sz val="10"/>
        <rFont val="Arial"/>
        <family val="2"/>
      </rPr>
      <t>2,15,i,2016</t>
    </r>
    <r>
      <rPr>
        <b/>
        <sz val="10"/>
        <rFont val="Arial"/>
        <family val="2"/>
      </rPr>
      <t>(%)</t>
    </r>
    <phoneticPr fontId="2" type="noConversion"/>
  </si>
  <si>
    <r>
      <t>BD</t>
    </r>
    <r>
      <rPr>
        <b/>
        <vertAlign val="subscript"/>
        <sz val="10"/>
        <rFont val="Arial"/>
        <family val="2"/>
      </rPr>
      <t>2,15,i,2016</t>
    </r>
    <r>
      <rPr>
        <b/>
        <sz val="10"/>
        <rFont val="Arial"/>
        <family val="2"/>
      </rPr>
      <t xml:space="preserve"> (g soil/cm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  <phoneticPr fontId="2" type="noConversion"/>
  </si>
  <si>
    <r>
      <t>SOC</t>
    </r>
    <r>
      <rPr>
        <b/>
        <vertAlign val="subscript"/>
        <sz val="10"/>
        <rFont val="Arial"/>
        <family val="2"/>
      </rPr>
      <t>2,15,i,2016</t>
    </r>
    <r>
      <rPr>
        <b/>
        <sz val="10"/>
        <rFont val="Arial"/>
        <family val="2"/>
      </rPr>
      <t xml:space="preserve"> (g/kg)</t>
    </r>
    <phoneticPr fontId="2" type="noConversion"/>
  </si>
  <si>
    <r>
      <t>SOC</t>
    </r>
    <r>
      <rPr>
        <b/>
        <vertAlign val="subscript"/>
        <sz val="10"/>
        <rFont val="Arial"/>
        <family val="2"/>
      </rPr>
      <t xml:space="preserve">15,baseline </t>
    </r>
    <r>
      <rPr>
        <b/>
        <sz val="10"/>
        <rFont val="Arial"/>
        <family val="2"/>
      </rPr>
      <t>(tC/ha)</t>
    </r>
    <phoneticPr fontId="2" type="noConversion"/>
  </si>
  <si>
    <t>MLB-06</t>
  </si>
  <si>
    <t>SDB-03</t>
  </si>
  <si>
    <t>SDMCB-15</t>
  </si>
  <si>
    <t>SNB-06</t>
  </si>
  <si>
    <t>SNB-23</t>
  </si>
  <si>
    <t>SNB-25</t>
  </si>
  <si>
    <r>
      <t>FC</t>
    </r>
    <r>
      <rPr>
        <b/>
        <vertAlign val="subscript"/>
        <sz val="10"/>
        <rFont val="Arial"/>
        <family val="2"/>
      </rPr>
      <t>2,16,i,2016</t>
    </r>
    <r>
      <rPr>
        <b/>
        <sz val="10"/>
        <rFont val="Arial"/>
        <family val="2"/>
      </rPr>
      <t>(%)</t>
    </r>
    <phoneticPr fontId="2" type="noConversion"/>
  </si>
  <si>
    <r>
      <t>BD</t>
    </r>
    <r>
      <rPr>
        <b/>
        <vertAlign val="subscript"/>
        <sz val="10"/>
        <rFont val="Arial"/>
        <family val="2"/>
      </rPr>
      <t>2,16,i,2016</t>
    </r>
    <r>
      <rPr>
        <b/>
        <sz val="10"/>
        <rFont val="Arial"/>
        <family val="2"/>
      </rPr>
      <t xml:space="preserve"> (g soil/cm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  <phoneticPr fontId="2" type="noConversion"/>
  </si>
  <si>
    <r>
      <t>SOC</t>
    </r>
    <r>
      <rPr>
        <b/>
        <vertAlign val="subscript"/>
        <sz val="10"/>
        <rFont val="Arial"/>
        <family val="2"/>
      </rPr>
      <t>2,16,i,2016</t>
    </r>
    <r>
      <rPr>
        <b/>
        <sz val="10"/>
        <rFont val="Arial"/>
        <family val="2"/>
      </rPr>
      <t xml:space="preserve"> (g/kg)</t>
    </r>
    <phoneticPr fontId="2" type="noConversion"/>
  </si>
  <si>
    <r>
      <t>SOC</t>
    </r>
    <r>
      <rPr>
        <b/>
        <vertAlign val="subscript"/>
        <sz val="10"/>
        <rFont val="Arial"/>
        <family val="2"/>
      </rPr>
      <t xml:space="preserve">16,baseline </t>
    </r>
    <r>
      <rPr>
        <b/>
        <sz val="10"/>
        <rFont val="Arial"/>
        <family val="2"/>
      </rPr>
      <t>(tC/ha)</t>
    </r>
    <phoneticPr fontId="2" type="noConversion"/>
  </si>
  <si>
    <t>MLB-04</t>
  </si>
  <si>
    <t>SDMCB-08</t>
  </si>
  <si>
    <t>SNB-05</t>
  </si>
  <si>
    <t>SNB-21</t>
  </si>
  <si>
    <t>SNB-22</t>
  </si>
  <si>
    <t>SNB-27</t>
  </si>
  <si>
    <r>
      <t>FC</t>
    </r>
    <r>
      <rPr>
        <b/>
        <vertAlign val="subscript"/>
        <sz val="10"/>
        <rFont val="Arial"/>
        <family val="2"/>
      </rPr>
      <t>3,17,i,2016</t>
    </r>
    <r>
      <rPr>
        <b/>
        <sz val="10"/>
        <rFont val="Arial"/>
        <family val="2"/>
      </rPr>
      <t>(%)</t>
    </r>
    <phoneticPr fontId="2" type="noConversion"/>
  </si>
  <si>
    <r>
      <t>BD</t>
    </r>
    <r>
      <rPr>
        <b/>
        <vertAlign val="subscript"/>
        <sz val="10"/>
        <rFont val="Arial"/>
        <family val="2"/>
      </rPr>
      <t>3,17,i,2016</t>
    </r>
    <r>
      <rPr>
        <b/>
        <sz val="10"/>
        <rFont val="Arial"/>
        <family val="2"/>
      </rPr>
      <t xml:space="preserve"> (g soil/cm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  <phoneticPr fontId="2" type="noConversion"/>
  </si>
  <si>
    <r>
      <t>SOC</t>
    </r>
    <r>
      <rPr>
        <b/>
        <vertAlign val="subscript"/>
        <sz val="10"/>
        <rFont val="Arial"/>
        <family val="2"/>
      </rPr>
      <t>3,17,i,2016</t>
    </r>
    <r>
      <rPr>
        <b/>
        <sz val="10"/>
        <rFont val="Arial"/>
        <family val="2"/>
      </rPr>
      <t xml:space="preserve"> (g/kg)</t>
    </r>
    <phoneticPr fontId="2" type="noConversion"/>
  </si>
  <si>
    <r>
      <t>SOC</t>
    </r>
    <r>
      <rPr>
        <b/>
        <vertAlign val="subscript"/>
        <sz val="10"/>
        <rFont val="Arial"/>
        <family val="2"/>
      </rPr>
      <t xml:space="preserve">17,baseline </t>
    </r>
    <r>
      <rPr>
        <b/>
        <sz val="10"/>
        <rFont val="Arial"/>
        <family val="2"/>
      </rPr>
      <t>(tC/ha)</t>
    </r>
    <phoneticPr fontId="2" type="noConversion"/>
  </si>
  <si>
    <t>SNB-03</t>
  </si>
  <si>
    <t>SNB-24</t>
  </si>
  <si>
    <t>SNB-26</t>
  </si>
  <si>
    <t>SNB-28</t>
  </si>
  <si>
    <t>SNB-30</t>
  </si>
  <si>
    <t>SNB-40</t>
  </si>
  <si>
    <r>
      <t>FC</t>
    </r>
    <r>
      <rPr>
        <b/>
        <vertAlign val="subscript"/>
        <sz val="10"/>
        <rFont val="Arial"/>
        <family val="2"/>
      </rPr>
      <t>3,18,i,2016</t>
    </r>
    <r>
      <rPr>
        <b/>
        <sz val="10"/>
        <rFont val="Arial"/>
        <family val="2"/>
      </rPr>
      <t>(%)</t>
    </r>
    <phoneticPr fontId="2" type="noConversion"/>
  </si>
  <si>
    <r>
      <t>BD</t>
    </r>
    <r>
      <rPr>
        <b/>
        <vertAlign val="subscript"/>
        <sz val="10"/>
        <rFont val="Arial"/>
        <family val="2"/>
      </rPr>
      <t>3,18,i,2016</t>
    </r>
    <r>
      <rPr>
        <b/>
        <sz val="10"/>
        <rFont val="Arial"/>
        <family val="2"/>
      </rPr>
      <t xml:space="preserve"> (g soil/cm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  <phoneticPr fontId="2" type="noConversion"/>
  </si>
  <si>
    <r>
      <t>SOC3</t>
    </r>
    <r>
      <rPr>
        <b/>
        <vertAlign val="subscript"/>
        <sz val="10"/>
        <rFont val="Arial"/>
        <family val="2"/>
      </rPr>
      <t>,18,i,2016</t>
    </r>
    <r>
      <rPr>
        <b/>
        <sz val="10"/>
        <rFont val="Arial"/>
        <family val="2"/>
      </rPr>
      <t xml:space="preserve"> (g/kg)</t>
    </r>
    <phoneticPr fontId="2" type="noConversion"/>
  </si>
  <si>
    <r>
      <t>SOC</t>
    </r>
    <r>
      <rPr>
        <b/>
        <vertAlign val="subscript"/>
        <sz val="10"/>
        <rFont val="Arial"/>
        <family val="2"/>
      </rPr>
      <t xml:space="preserve">18,baseline </t>
    </r>
    <r>
      <rPr>
        <b/>
        <sz val="10"/>
        <rFont val="Arial"/>
        <family val="2"/>
      </rPr>
      <t>(tC/ha)</t>
    </r>
    <phoneticPr fontId="2" type="noConversion"/>
  </si>
  <si>
    <t>SDMCB-18</t>
  </si>
  <si>
    <t>SNB-18</t>
  </si>
  <si>
    <t>SNB-19</t>
  </si>
  <si>
    <t>SNB-20</t>
  </si>
  <si>
    <t>SNB-37</t>
  </si>
  <si>
    <t>SNB-38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</si>
</sst>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_ "/>
    <numFmt numFmtId="165" formatCode="0.00_ "/>
    <numFmt numFmtId="166" formatCode="#,##0_ "/>
    <numFmt numFmtId="167" formatCode="0.00_);[Red]\(0.00\)"/>
    <numFmt numFmtId="168" formatCode="#,##0.00_ "/>
    <numFmt numFmtId="169" formatCode="[$-C09]dd\-mmm\-yy;@"/>
  </numFmts>
  <fonts count="27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name val="等线"/>
      <family val="3"/>
      <charset val="134"/>
    </font>
    <font>
      <sz val="10"/>
      <color theme="1"/>
      <name val="Arial"/>
      <family val="2"/>
    </font>
    <font>
      <sz val="10"/>
      <color rgb="FF3B3531"/>
      <name val="Arial"/>
      <family val="2"/>
    </font>
    <font>
      <i/>
      <sz val="10"/>
      <color theme="1"/>
      <name val="Arial"/>
      <family val="2"/>
    </font>
    <font>
      <i/>
      <vertAlign val="subscript"/>
      <sz val="10"/>
      <color theme="1"/>
      <name val="Arial"/>
      <family val="2"/>
    </font>
    <font>
      <vertAlign val="subscript"/>
      <sz val="10"/>
      <color theme="1"/>
      <name val="Arial"/>
      <family val="2"/>
    </font>
    <font>
      <sz val="10"/>
      <color rgb="FF000000"/>
      <name val="Arial"/>
      <family val="2"/>
    </font>
    <font>
      <vertAlign val="subscript"/>
      <sz val="10"/>
      <color rgb="FF000000"/>
      <name val="Arial"/>
      <family val="2"/>
    </font>
    <font>
      <b/>
      <sz val="10"/>
      <color theme="1"/>
      <name val="Arial"/>
      <family val="2"/>
    </font>
    <font>
      <vertAlign val="subscript"/>
      <sz val="10"/>
      <color rgb="FF3B3531"/>
      <name val="Arial"/>
      <family val="2"/>
    </font>
    <font>
      <b/>
      <vertAlign val="subscript"/>
      <sz val="10"/>
      <color theme="1"/>
      <name val="Arial"/>
      <family val="2"/>
    </font>
    <font>
      <sz val="11"/>
      <color theme="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0"/>
      <name val="Arial"/>
      <family val="2"/>
    </font>
    <font>
      <b/>
      <i/>
      <sz val="10"/>
      <color theme="1"/>
      <name val="Arial"/>
      <family val="2"/>
    </font>
    <font>
      <b/>
      <i/>
      <vertAlign val="subscript"/>
      <sz val="10"/>
      <color theme="1"/>
      <name val="Arial"/>
      <family val="2"/>
    </font>
    <font>
      <b/>
      <sz val="10"/>
      <color rgb="FF000000"/>
      <name val="Arial"/>
      <family val="2"/>
    </font>
    <font>
      <b/>
      <vertAlign val="subscript"/>
      <sz val="10"/>
      <color rgb="FF000000"/>
      <name val="Arial"/>
      <family val="2"/>
    </font>
    <font>
      <b/>
      <sz val="10"/>
      <name val="Arial"/>
      <family val="2"/>
    </font>
    <font>
      <b/>
      <vertAlign val="subscript"/>
      <sz val="10"/>
      <name val="Arial"/>
      <family val="2"/>
    </font>
    <font>
      <b/>
      <vertAlign val="superscript"/>
      <sz val="10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87C2B"/>
        <bgColor indexed="64"/>
      </patternFill>
    </fill>
    <fill>
      <patternFill patternType="solid">
        <fgColor rgb="FFCBE1C3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thin">
        <color theme="0"/>
      </bottom>
      <diagonal/>
    </border>
    <border>
      <left/>
      <right/>
      <top style="medium">
        <color theme="0"/>
      </top>
      <bottom style="thin">
        <color theme="0"/>
      </bottom>
      <diagonal/>
    </border>
    <border>
      <left/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medium">
        <color theme="0"/>
      </right>
      <top style="thin">
        <color theme="0"/>
      </top>
      <bottom style="medium">
        <color theme="0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5" fillId="0" borderId="0">
      <alignment vertical="center"/>
    </xf>
  </cellStyleXfs>
  <cellXfs count="116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166" fontId="5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38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0" xfId="0" applyFont="1"/>
    <xf numFmtId="38" fontId="5" fillId="0" borderId="1" xfId="0" applyNumberFormat="1" applyFont="1" applyBorder="1" applyAlignment="1">
      <alignment horizontal="center"/>
    </xf>
    <xf numFmtId="166" fontId="5" fillId="0" borderId="1" xfId="0" applyNumberFormat="1" applyFont="1" applyBorder="1" applyAlignment="1">
      <alignment horizontal="center" vertical="center"/>
    </xf>
    <xf numFmtId="38" fontId="5" fillId="0" borderId="0" xfId="0" applyNumberFormat="1" applyFont="1" applyAlignment="1">
      <alignment horizontal="center" vertical="center"/>
    </xf>
    <xf numFmtId="165" fontId="5" fillId="0" borderId="0" xfId="0" applyNumberFormat="1" applyFont="1"/>
    <xf numFmtId="10" fontId="5" fillId="0" borderId="0" xfId="0" applyNumberFormat="1" applyFont="1"/>
    <xf numFmtId="10" fontId="5" fillId="0" borderId="1" xfId="1" applyNumberFormat="1" applyFont="1" applyBorder="1" applyAlignment="1">
      <alignment horizontal="center" vertical="center"/>
    </xf>
    <xf numFmtId="10" fontId="5" fillId="0" borderId="0" xfId="1" applyNumberFormat="1" applyFont="1" applyAlignment="1"/>
    <xf numFmtId="0" fontId="12" fillId="0" borderId="1" xfId="0" applyFont="1" applyBorder="1" applyAlignment="1">
      <alignment horizontal="center" vertical="center"/>
    </xf>
    <xf numFmtId="166" fontId="12" fillId="0" borderId="1" xfId="0" applyNumberFormat="1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top"/>
    </xf>
    <xf numFmtId="0" fontId="18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10" fontId="18" fillId="0" borderId="1" xfId="1" applyNumberFormat="1" applyFont="1" applyBorder="1" applyAlignment="1">
      <alignment horizontal="center" vertical="center"/>
    </xf>
    <xf numFmtId="2" fontId="18" fillId="0" borderId="1" xfId="0" applyNumberFormat="1" applyFont="1" applyBorder="1" applyAlignment="1">
      <alignment horizontal="center" vertical="center"/>
    </xf>
    <xf numFmtId="165" fontId="18" fillId="0" borderId="1" xfId="0" applyNumberFormat="1" applyFont="1" applyBorder="1" applyAlignment="1">
      <alignment horizontal="center" vertical="center"/>
    </xf>
    <xf numFmtId="164" fontId="18" fillId="0" borderId="1" xfId="0" applyNumberFormat="1" applyFont="1" applyBorder="1" applyAlignment="1">
      <alignment horizontal="center" vertical="center"/>
    </xf>
    <xf numFmtId="40" fontId="18" fillId="0" borderId="1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40" fontId="23" fillId="0" borderId="1" xfId="0" applyNumberFormat="1" applyFont="1" applyBorder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38" fontId="12" fillId="0" borderId="1" xfId="0" applyNumberFormat="1" applyFont="1" applyBorder="1" applyAlignment="1">
      <alignment horizontal="center" vertical="center"/>
    </xf>
    <xf numFmtId="0" fontId="5" fillId="3" borderId="13" xfId="0" applyFont="1" applyFill="1" applyBorder="1" applyAlignment="1">
      <alignment vertical="center"/>
    </xf>
    <xf numFmtId="0" fontId="5" fillId="3" borderId="13" xfId="0" applyFont="1" applyFill="1" applyBorder="1" applyAlignment="1">
      <alignment horizontal="center" vertical="center"/>
    </xf>
    <xf numFmtId="15" fontId="5" fillId="3" borderId="15" xfId="0" applyNumberFormat="1" applyFont="1" applyFill="1" applyBorder="1" applyAlignment="1">
      <alignment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26" fillId="2" borderId="14" xfId="0" applyFont="1" applyFill="1" applyBorder="1" applyAlignment="1">
      <alignment horizontal="left" vertical="center"/>
    </xf>
    <xf numFmtId="0" fontId="26" fillId="2" borderId="17" xfId="0" applyFont="1" applyFill="1" applyBorder="1" applyAlignment="1">
      <alignment vertical="center"/>
    </xf>
    <xf numFmtId="0" fontId="26" fillId="2" borderId="19" xfId="0" applyFont="1" applyFill="1" applyBorder="1" applyAlignment="1">
      <alignment vertical="center"/>
    </xf>
    <xf numFmtId="0" fontId="12" fillId="3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49" fontId="5" fillId="3" borderId="13" xfId="0" applyNumberFormat="1" applyFont="1" applyFill="1" applyBorder="1" applyAlignment="1">
      <alignment horizontal="left" vertical="center"/>
    </xf>
    <xf numFmtId="166" fontId="12" fillId="3" borderId="1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12" fillId="0" borderId="0" xfId="0" applyFont="1"/>
    <xf numFmtId="0" fontId="19" fillId="0" borderId="0" xfId="0" applyFont="1" applyAlignment="1">
      <alignment horizontal="center" vertical="center"/>
    </xf>
    <xf numFmtId="166" fontId="12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vertical="center"/>
    </xf>
    <xf numFmtId="0" fontId="12" fillId="3" borderId="11" xfId="0" applyFont="1" applyFill="1" applyBorder="1" applyAlignment="1">
      <alignment vertical="center"/>
    </xf>
    <xf numFmtId="0" fontId="18" fillId="0" borderId="0" xfId="0" applyFont="1" applyAlignment="1">
      <alignment vertical="center"/>
    </xf>
    <xf numFmtId="38" fontId="19" fillId="3" borderId="1" xfId="0" applyNumberFormat="1" applyFont="1" applyFill="1" applyBorder="1" applyAlignment="1">
      <alignment horizontal="center" vertical="center"/>
    </xf>
    <xf numFmtId="38" fontId="21" fillId="3" borderId="1" xfId="0" applyNumberFormat="1" applyFont="1" applyFill="1" applyBorder="1" applyAlignment="1">
      <alignment horizontal="center" vertical="center"/>
    </xf>
    <xf numFmtId="168" fontId="12" fillId="3" borderId="1" xfId="0" applyNumberFormat="1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 wrapText="1"/>
    </xf>
    <xf numFmtId="169" fontId="5" fillId="3" borderId="13" xfId="0" applyNumberFormat="1" applyFont="1" applyFill="1" applyBorder="1" applyAlignment="1">
      <alignment horizontal="left" vertical="center"/>
    </xf>
    <xf numFmtId="0" fontId="23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40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10" fontId="5" fillId="0" borderId="0" xfId="1" applyNumberFormat="1" applyFont="1" applyFill="1" applyBorder="1" applyAlignment="1">
      <alignment horizontal="center" vertical="center"/>
    </xf>
    <xf numFmtId="165" fontId="5" fillId="0" borderId="1" xfId="0" applyNumberFormat="1" applyFont="1" applyBorder="1" applyAlignment="1">
      <alignment horizontal="left" vertical="center"/>
    </xf>
    <xf numFmtId="10" fontId="5" fillId="0" borderId="1" xfId="0" applyNumberFormat="1" applyFont="1" applyBorder="1" applyAlignment="1">
      <alignment horizontal="left" vertical="center"/>
    </xf>
    <xf numFmtId="167" fontId="5" fillId="0" borderId="1" xfId="0" applyNumberFormat="1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8" fontId="12" fillId="3" borderId="1" xfId="0" applyNumberFormat="1" applyFont="1" applyFill="1" applyBorder="1" applyAlignment="1">
      <alignment horizontal="center" vertical="center"/>
    </xf>
    <xf numFmtId="38" fontId="19" fillId="3" borderId="5" xfId="0" applyNumberFormat="1" applyFont="1" applyFill="1" applyBorder="1" applyAlignment="1">
      <alignment horizontal="center" vertical="center"/>
    </xf>
    <xf numFmtId="38" fontId="19" fillId="3" borderId="6" xfId="0" applyNumberFormat="1" applyFont="1" applyFill="1" applyBorder="1" applyAlignment="1">
      <alignment horizontal="center" vertical="center"/>
    </xf>
    <xf numFmtId="38" fontId="19" fillId="3" borderId="7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wrapText="1"/>
    </xf>
    <xf numFmtId="0" fontId="23" fillId="0" borderId="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</cellXfs>
  <cellStyles count="4">
    <cellStyle name="Normal" xfId="0" builtinId="0"/>
    <cellStyle name="Percent" xfId="1" builtinId="5"/>
    <cellStyle name="常规 2" xfId="2" xr:uid="{90E2B1CC-39C2-4B3F-BC4D-D9F669D5853A}"/>
    <cellStyle name="常规 3 2" xfId="3" xr:uid="{1D32DFBE-285E-4147-BA15-FE793C41EE52}"/>
  </cellStyles>
  <dxfs count="0"/>
  <tableStyles count="0" defaultTableStyle="TableStyleMedium2" defaultPivotStyle="PivotStyleLight16"/>
  <colors>
    <mruColors>
      <color rgb="FFCBE1C3"/>
      <color rgb="FF387C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png"/><Relationship Id="rId3" Type="http://schemas.openxmlformats.org/officeDocument/2006/relationships/image" Target="../media/image11.png"/><Relationship Id="rId7" Type="http://schemas.openxmlformats.org/officeDocument/2006/relationships/image" Target="../media/image15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5" Type="http://schemas.openxmlformats.org/officeDocument/2006/relationships/image" Target="../media/image13.png"/><Relationship Id="rId4" Type="http://schemas.openxmlformats.org/officeDocument/2006/relationships/image" Target="../media/image12.png"/><Relationship Id="rId9" Type="http://schemas.openxmlformats.org/officeDocument/2006/relationships/image" Target="../media/image17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.png"/><Relationship Id="rId3" Type="http://schemas.openxmlformats.org/officeDocument/2006/relationships/image" Target="../media/image20.png"/><Relationship Id="rId7" Type="http://schemas.openxmlformats.org/officeDocument/2006/relationships/image" Target="../media/image24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Relationship Id="rId6" Type="http://schemas.openxmlformats.org/officeDocument/2006/relationships/image" Target="../media/image23.png"/><Relationship Id="rId5" Type="http://schemas.openxmlformats.org/officeDocument/2006/relationships/image" Target="../media/image22.png"/><Relationship Id="rId10" Type="http://schemas.openxmlformats.org/officeDocument/2006/relationships/image" Target="../media/image27.png"/><Relationship Id="rId4" Type="http://schemas.openxmlformats.org/officeDocument/2006/relationships/image" Target="../media/image21.png"/><Relationship Id="rId9" Type="http://schemas.openxmlformats.org/officeDocument/2006/relationships/image" Target="../media/image2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223658</xdr:colOff>
      <xdr:row>25</xdr:row>
      <xdr:rowOff>76200</xdr:rowOff>
    </xdr:from>
    <xdr:to>
      <xdr:col>4</xdr:col>
      <xdr:colOff>1240619</xdr:colOff>
      <xdr:row>27</xdr:row>
      <xdr:rowOff>68580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63E9EF5-1DD8-EDF6-5203-59F448332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258" y="4823460"/>
          <a:ext cx="2861001" cy="327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91440</xdr:colOff>
      <xdr:row>32</xdr:row>
      <xdr:rowOff>152400</xdr:rowOff>
    </xdr:from>
    <xdr:to>
      <xdr:col>4</xdr:col>
      <xdr:colOff>198120</xdr:colOff>
      <xdr:row>33</xdr:row>
      <xdr:rowOff>152400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A10BE1E-5601-E74C-1442-9EB91F1B3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" y="6111240"/>
          <a:ext cx="195072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91440</xdr:colOff>
      <xdr:row>36</xdr:row>
      <xdr:rowOff>152400</xdr:rowOff>
    </xdr:from>
    <xdr:to>
      <xdr:col>4</xdr:col>
      <xdr:colOff>1097280</xdr:colOff>
      <xdr:row>37</xdr:row>
      <xdr:rowOff>160020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2E1119A-F7E2-FE97-A565-072A922A9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" y="6812280"/>
          <a:ext cx="284988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129540</xdr:colOff>
      <xdr:row>43</xdr:row>
      <xdr:rowOff>7620</xdr:rowOff>
    </xdr:from>
    <xdr:to>
      <xdr:col>4</xdr:col>
      <xdr:colOff>906780</xdr:colOff>
      <xdr:row>45</xdr:row>
      <xdr:rowOff>83820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E3C24015-EDD0-19D6-CC72-7F356BE43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" y="7901940"/>
          <a:ext cx="262128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1203960</xdr:colOff>
      <xdr:row>44</xdr:row>
      <xdr:rowOff>144780</xdr:rowOff>
    </xdr:from>
    <xdr:to>
      <xdr:col>5</xdr:col>
      <xdr:colOff>2278380</xdr:colOff>
      <xdr:row>46</xdr:row>
      <xdr:rowOff>144780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ACBEE855-4730-94C1-E47C-9D60B843E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8206740"/>
          <a:ext cx="3467100" cy="335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106680</xdr:colOff>
      <xdr:row>46</xdr:row>
      <xdr:rowOff>99060</xdr:rowOff>
    </xdr:from>
    <xdr:to>
      <xdr:col>4</xdr:col>
      <xdr:colOff>914400</xdr:colOff>
      <xdr:row>47</xdr:row>
      <xdr:rowOff>106680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3FEFB725-F90E-BAB2-79BB-D7B060007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280" y="8496300"/>
          <a:ext cx="265176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49</xdr:row>
      <xdr:rowOff>167640</xdr:rowOff>
    </xdr:from>
    <xdr:to>
      <xdr:col>4</xdr:col>
      <xdr:colOff>1371600</xdr:colOff>
      <xdr:row>52</xdr:row>
      <xdr:rowOff>60960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2437AFEE-64DA-0D9B-D9D9-BAAB990B3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9585960"/>
          <a:ext cx="3101340" cy="434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160020</xdr:colOff>
      <xdr:row>58</xdr:row>
      <xdr:rowOff>22860</xdr:rowOff>
    </xdr:from>
    <xdr:to>
      <xdr:col>4</xdr:col>
      <xdr:colOff>1341120</xdr:colOff>
      <xdr:row>60</xdr:row>
      <xdr:rowOff>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F3EC4036-72F3-8385-C695-1E92514F3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" y="10698480"/>
          <a:ext cx="302514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175260</xdr:colOff>
      <xdr:row>29</xdr:row>
      <xdr:rowOff>30480</xdr:rowOff>
    </xdr:from>
    <xdr:to>
      <xdr:col>5</xdr:col>
      <xdr:colOff>388620</xdr:colOff>
      <xdr:row>31</xdr:row>
      <xdr:rowOff>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DEA9CC8-2801-2C79-AC55-296F980D4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4945380"/>
          <a:ext cx="252984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251460</xdr:colOff>
      <xdr:row>41</xdr:row>
      <xdr:rowOff>129540</xdr:rowOff>
    </xdr:from>
    <xdr:to>
      <xdr:col>6</xdr:col>
      <xdr:colOff>190500</xdr:colOff>
      <xdr:row>42</xdr:row>
      <xdr:rowOff>137160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90BB7AC-1349-9D77-8B0C-13B8F1058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" y="7162800"/>
          <a:ext cx="279654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266700</xdr:colOff>
      <xdr:row>37</xdr:row>
      <xdr:rowOff>160020</xdr:rowOff>
    </xdr:from>
    <xdr:to>
      <xdr:col>4</xdr:col>
      <xdr:colOff>388620</xdr:colOff>
      <xdr:row>39</xdr:row>
      <xdr:rowOff>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CC2DAC12-98FD-4D31-9002-D32292CDC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6492240"/>
          <a:ext cx="189738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220980</xdr:colOff>
      <xdr:row>49</xdr:row>
      <xdr:rowOff>60960</xdr:rowOff>
    </xdr:from>
    <xdr:to>
      <xdr:col>5</xdr:col>
      <xdr:colOff>495300</xdr:colOff>
      <xdr:row>51</xdr:row>
      <xdr:rowOff>129540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5490722E-16B5-D929-8ADD-BC8FDDF0E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090660"/>
          <a:ext cx="2590800" cy="403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228600</xdr:colOff>
      <xdr:row>51</xdr:row>
      <xdr:rowOff>167640</xdr:rowOff>
    </xdr:from>
    <xdr:to>
      <xdr:col>5</xdr:col>
      <xdr:colOff>441960</xdr:colOff>
      <xdr:row>54</xdr:row>
      <xdr:rowOff>68580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73571F23-7E92-FA0E-5A94-1FF0F8C21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" y="9532620"/>
          <a:ext cx="2529840" cy="426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205740</xdr:colOff>
      <xdr:row>50</xdr:row>
      <xdr:rowOff>121920</xdr:rowOff>
    </xdr:from>
    <xdr:to>
      <xdr:col>10</xdr:col>
      <xdr:colOff>495300</xdr:colOff>
      <xdr:row>52</xdr:row>
      <xdr:rowOff>68580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1131F44F-934F-3415-C1DD-AC3B4AFC0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1360" y="9806940"/>
          <a:ext cx="3413760" cy="289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205740</xdr:colOff>
      <xdr:row>56</xdr:row>
      <xdr:rowOff>15240</xdr:rowOff>
    </xdr:from>
    <xdr:to>
      <xdr:col>6</xdr:col>
      <xdr:colOff>411480</xdr:colOff>
      <xdr:row>58</xdr:row>
      <xdr:rowOff>91440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C081E07A-1917-820B-E6D2-96F49D307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" y="9852660"/>
          <a:ext cx="306324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289560</xdr:colOff>
      <xdr:row>65</xdr:row>
      <xdr:rowOff>15240</xdr:rowOff>
    </xdr:from>
    <xdr:to>
      <xdr:col>6</xdr:col>
      <xdr:colOff>396240</xdr:colOff>
      <xdr:row>66</xdr:row>
      <xdr:rowOff>160020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9C058DBA-9859-9183-D06F-8D7AE34CC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" y="11437620"/>
          <a:ext cx="296418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182880</xdr:colOff>
      <xdr:row>73</xdr:row>
      <xdr:rowOff>7620</xdr:rowOff>
    </xdr:from>
    <xdr:to>
      <xdr:col>6</xdr:col>
      <xdr:colOff>38100</xdr:colOff>
      <xdr:row>75</xdr:row>
      <xdr:rowOff>7620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A455BA2-DCBA-E147-204D-FA635AAB4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2832080"/>
          <a:ext cx="2712720" cy="335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129540</xdr:colOff>
      <xdr:row>38</xdr:row>
      <xdr:rowOff>60960</xdr:rowOff>
    </xdr:from>
    <xdr:to>
      <xdr:col>6</xdr:col>
      <xdr:colOff>320040</xdr:colOff>
      <xdr:row>40</xdr:row>
      <xdr:rowOff>30480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9E7A5A88-E76B-35F3-04F2-5E8252E9B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5577840"/>
          <a:ext cx="30480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144780</xdr:colOff>
      <xdr:row>46</xdr:row>
      <xdr:rowOff>144780</xdr:rowOff>
    </xdr:from>
    <xdr:to>
      <xdr:col>5</xdr:col>
      <xdr:colOff>15240</xdr:colOff>
      <xdr:row>47</xdr:row>
      <xdr:rowOff>152400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555AAA95-91A0-72D3-C3CC-EA089091A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7071360"/>
          <a:ext cx="218694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121920</xdr:colOff>
      <xdr:row>50</xdr:row>
      <xdr:rowOff>137160</xdr:rowOff>
    </xdr:from>
    <xdr:to>
      <xdr:col>6</xdr:col>
      <xdr:colOff>525780</xdr:colOff>
      <xdr:row>51</xdr:row>
      <xdr:rowOff>144780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9F14399D-3177-4EEE-BEE4-152D16BF6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" y="7764780"/>
          <a:ext cx="326136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198120</xdr:colOff>
      <xdr:row>58</xdr:row>
      <xdr:rowOff>60960</xdr:rowOff>
    </xdr:from>
    <xdr:to>
      <xdr:col>6</xdr:col>
      <xdr:colOff>198120</xdr:colOff>
      <xdr:row>60</xdr:row>
      <xdr:rowOff>30480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3DB90E9F-1B14-96D7-23AD-1D41AF511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9090660"/>
          <a:ext cx="28575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61</xdr:row>
      <xdr:rowOff>7620</xdr:rowOff>
    </xdr:from>
    <xdr:to>
      <xdr:col>6</xdr:col>
      <xdr:colOff>22860</xdr:colOff>
      <xdr:row>62</xdr:row>
      <xdr:rowOff>45720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2B0ED60D-07EC-A1D2-6626-0EF4D6EE9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9555480"/>
          <a:ext cx="2705100" cy="213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480060</xdr:colOff>
      <xdr:row>59</xdr:row>
      <xdr:rowOff>99060</xdr:rowOff>
    </xdr:from>
    <xdr:to>
      <xdr:col>10</xdr:col>
      <xdr:colOff>1066800</xdr:colOff>
      <xdr:row>61</xdr:row>
      <xdr:rowOff>60960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CB7944CF-65A7-0AD9-672E-54F3F3DE3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5680" y="9128760"/>
          <a:ext cx="405384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182880</xdr:colOff>
      <xdr:row>74</xdr:row>
      <xdr:rowOff>121920</xdr:rowOff>
    </xdr:from>
    <xdr:to>
      <xdr:col>7</xdr:col>
      <xdr:colOff>480060</xdr:colOff>
      <xdr:row>76</xdr:row>
      <xdr:rowOff>91440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64614EAC-4B5A-0067-50EE-BCB99E743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2153900"/>
          <a:ext cx="36957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152400</xdr:colOff>
      <xdr:row>65</xdr:row>
      <xdr:rowOff>111865</xdr:rowOff>
    </xdr:from>
    <xdr:to>
      <xdr:col>6</xdr:col>
      <xdr:colOff>335280</xdr:colOff>
      <xdr:row>67</xdr:row>
      <xdr:rowOff>90762</xdr:rowOff>
    </xdr:to>
    <xdr:pic>
      <xdr:nvPicPr>
        <xdr:cNvPr id="18" name="图片 6">
          <a:extLst>
            <a:ext uri="{FF2B5EF4-FFF2-40B4-BE49-F238E27FC236}">
              <a16:creationId xmlns:a16="http://schemas.microsoft.com/office/drawing/2014/main" id="{614354D6-CB32-4460-A923-5E4EF7074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" y="10505545"/>
          <a:ext cx="3040380" cy="3141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220980</xdr:colOff>
      <xdr:row>29</xdr:row>
      <xdr:rowOff>53340</xdr:rowOff>
    </xdr:from>
    <xdr:to>
      <xdr:col>3</xdr:col>
      <xdr:colOff>327660</xdr:colOff>
      <xdr:row>31</xdr:row>
      <xdr:rowOff>38100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A32476D5-4932-0690-7E61-E0306408D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8249900"/>
          <a:ext cx="134112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439420</xdr:colOff>
      <xdr:row>29</xdr:row>
      <xdr:rowOff>76200</xdr:rowOff>
    </xdr:from>
    <xdr:to>
      <xdr:col>9</xdr:col>
      <xdr:colOff>317500</xdr:colOff>
      <xdr:row>31</xdr:row>
      <xdr:rowOff>53340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6C57D3F-7B60-0BCE-78D8-550C394A4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6520" y="5594350"/>
          <a:ext cx="3046730" cy="313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5.xml"/><Relationship Id="rId1" Type="http://schemas.openxmlformats.org/officeDocument/2006/relationships/vmlDrawing" Target="../drawings/vmlDrawing15.v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6.xml"/><Relationship Id="rId1" Type="http://schemas.openxmlformats.org/officeDocument/2006/relationships/vmlDrawing" Target="../drawings/vmlDrawing16.v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7.xml"/><Relationship Id="rId1" Type="http://schemas.openxmlformats.org/officeDocument/2006/relationships/vmlDrawing" Target="../drawings/vmlDrawing17.v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8.xml"/><Relationship Id="rId1" Type="http://schemas.openxmlformats.org/officeDocument/2006/relationships/vmlDrawing" Target="../drawings/vmlDrawing18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02E78-5C63-4D47-85E5-FC72C9E19A36}">
  <dimension ref="B1:I56"/>
  <sheetViews>
    <sheetView showGridLines="0" zoomScaleNormal="100" workbookViewId="0">
      <selection activeCell="G13" sqref="G13:G53"/>
    </sheetView>
  </sheetViews>
  <sheetFormatPr defaultColWidth="8.875" defaultRowHeight="12.6"/>
  <cols>
    <col min="1" max="1" width="8.875" style="2"/>
    <col min="2" max="2" width="17.375" style="2" customWidth="1"/>
    <col min="3" max="3" width="19.375" style="2" customWidth="1"/>
    <col min="4" max="5" width="11.625" style="2" customWidth="1"/>
    <col min="6" max="6" width="11.25" style="2" customWidth="1"/>
    <col min="7" max="7" width="13.375" style="2" customWidth="1"/>
    <col min="8" max="8" width="11.125" style="2" customWidth="1"/>
    <col min="9" max="9" width="10.375" style="2" customWidth="1"/>
    <col min="10" max="16384" width="8.875" style="2"/>
  </cols>
  <sheetData>
    <row r="1" spans="2:9" ht="12.95" thickBot="1"/>
    <row r="2" spans="2:9" ht="12.95">
      <c r="B2" s="52" t="s">
        <v>0</v>
      </c>
      <c r="C2" s="45" t="s">
        <v>1</v>
      </c>
      <c r="D2" s="46"/>
      <c r="E2" s="46"/>
      <c r="F2" s="46"/>
      <c r="G2" s="46"/>
      <c r="H2" s="46"/>
      <c r="I2" s="47"/>
    </row>
    <row r="3" spans="2:9" ht="13.7" customHeight="1">
      <c r="B3" s="53" t="s">
        <v>2</v>
      </c>
      <c r="C3" s="43" t="s">
        <v>3</v>
      </c>
      <c r="D3" s="44"/>
      <c r="E3" s="44"/>
      <c r="F3" s="44"/>
      <c r="G3" s="44"/>
      <c r="H3" s="44"/>
      <c r="I3" s="48"/>
    </row>
    <row r="4" spans="2:9" ht="12.95">
      <c r="B4" s="53" t="s">
        <v>4</v>
      </c>
      <c r="C4" s="78">
        <v>44822</v>
      </c>
      <c r="D4" s="44"/>
      <c r="E4" s="44"/>
      <c r="F4" s="44"/>
      <c r="G4" s="44"/>
      <c r="H4" s="44"/>
      <c r="I4" s="48"/>
    </row>
    <row r="5" spans="2:9" ht="12.95">
      <c r="B5" s="53" t="s">
        <v>5</v>
      </c>
      <c r="C5" s="58" t="s">
        <v>6</v>
      </c>
      <c r="D5" s="44"/>
      <c r="E5" s="44"/>
      <c r="F5" s="44"/>
      <c r="G5" s="44"/>
      <c r="H5" s="44"/>
      <c r="I5" s="48"/>
    </row>
    <row r="6" spans="2:9" ht="12.95">
      <c r="B6" s="53" t="s">
        <v>7</v>
      </c>
      <c r="C6" s="43" t="s">
        <v>8</v>
      </c>
      <c r="D6" s="44"/>
      <c r="E6" s="44"/>
      <c r="F6" s="44"/>
      <c r="G6" s="44"/>
      <c r="H6" s="44"/>
      <c r="I6" s="48"/>
    </row>
    <row r="7" spans="2:9" ht="12.95">
      <c r="B7" s="53" t="s">
        <v>9</v>
      </c>
      <c r="C7" s="43" t="s">
        <v>10</v>
      </c>
      <c r="D7" s="44"/>
      <c r="E7" s="44"/>
      <c r="F7" s="44"/>
      <c r="G7" s="44"/>
      <c r="H7" s="44"/>
      <c r="I7" s="48"/>
    </row>
    <row r="8" spans="2:9" ht="12.95">
      <c r="B8" s="53" t="s">
        <v>11</v>
      </c>
      <c r="C8" s="43" t="s">
        <v>12</v>
      </c>
      <c r="D8" s="44"/>
      <c r="E8" s="44"/>
      <c r="F8" s="44"/>
      <c r="G8" s="44"/>
      <c r="H8" s="44"/>
      <c r="I8" s="48"/>
    </row>
    <row r="9" spans="2:9" ht="13.5" thickBot="1">
      <c r="B9" s="54" t="s">
        <v>13</v>
      </c>
      <c r="C9" s="49" t="s">
        <v>14</v>
      </c>
      <c r="D9" s="50"/>
      <c r="E9" s="50"/>
      <c r="F9" s="50"/>
      <c r="G9" s="50"/>
      <c r="H9" s="50"/>
      <c r="I9" s="51"/>
    </row>
    <row r="11" spans="2:9" ht="15">
      <c r="B11" s="88" t="s">
        <v>15</v>
      </c>
      <c r="C11" s="56" t="s">
        <v>16</v>
      </c>
      <c r="D11" s="56" t="s">
        <v>17</v>
      </c>
      <c r="E11" s="56" t="s">
        <v>18</v>
      </c>
      <c r="F11" s="56" t="s">
        <v>19</v>
      </c>
      <c r="G11" s="56" t="s">
        <v>20</v>
      </c>
      <c r="H11" s="56" t="s">
        <v>21</v>
      </c>
      <c r="I11" s="56" t="s">
        <v>22</v>
      </c>
    </row>
    <row r="12" spans="2:9" ht="15">
      <c r="B12" s="88"/>
      <c r="C12" s="57" t="s">
        <v>23</v>
      </c>
      <c r="D12" s="57" t="s">
        <v>23</v>
      </c>
      <c r="E12" s="57" t="s">
        <v>23</v>
      </c>
      <c r="F12" s="57" t="s">
        <v>23</v>
      </c>
      <c r="G12" s="57" t="s">
        <v>23</v>
      </c>
      <c r="H12" s="57" t="s">
        <v>23</v>
      </c>
      <c r="I12" s="57" t="s">
        <v>23</v>
      </c>
    </row>
    <row r="13" spans="2:9">
      <c r="B13" s="3">
        <v>2017</v>
      </c>
      <c r="C13" s="14">
        <f>'Baseline Emission'!L4</f>
        <v>146059</v>
      </c>
      <c r="D13" s="14">
        <f>'Project Emission'!R4</f>
        <v>110221</v>
      </c>
      <c r="E13" s="14">
        <f>'Leakage Emission'!Q4</f>
        <v>23360</v>
      </c>
      <c r="F13" s="14">
        <f>'Project Removal'!U5</f>
        <v>706081</v>
      </c>
      <c r="G13" s="14">
        <f>C13-D13-E13+F13</f>
        <v>718559</v>
      </c>
      <c r="H13" s="14">
        <f>F13*10%</f>
        <v>70608.100000000006</v>
      </c>
      <c r="I13" s="14">
        <f>G13-H13</f>
        <v>647950.9</v>
      </c>
    </row>
    <row r="14" spans="2:9">
      <c r="B14" s="3">
        <v>2018</v>
      </c>
      <c r="C14" s="14">
        <f>'Baseline Emission'!L5</f>
        <v>146059</v>
      </c>
      <c r="D14" s="14">
        <f>'Project Emission'!R5</f>
        <v>73122</v>
      </c>
      <c r="E14" s="14">
        <f>'Leakage Emission'!Q5</f>
        <v>60835</v>
      </c>
      <c r="F14" s="14">
        <f>'Project Removal'!U6</f>
        <v>706081</v>
      </c>
      <c r="G14" s="14">
        <f t="shared" ref="G14:G52" si="0">C14-D14-E14+F14</f>
        <v>718183</v>
      </c>
      <c r="H14" s="14">
        <f t="shared" ref="H14:H52" si="1">F14*10%</f>
        <v>70608.100000000006</v>
      </c>
      <c r="I14" s="14">
        <f t="shared" ref="I14:I52" si="2">G14-H14</f>
        <v>647574.9</v>
      </c>
    </row>
    <row r="15" spans="2:9">
      <c r="B15" s="3">
        <v>2019</v>
      </c>
      <c r="C15" s="14">
        <f>'Baseline Emission'!L6</f>
        <v>146059</v>
      </c>
      <c r="D15" s="14">
        <f>'Project Emission'!R6</f>
        <v>39481</v>
      </c>
      <c r="E15" s="14">
        <f>'Leakage Emission'!Q6</f>
        <v>93948</v>
      </c>
      <c r="F15" s="14">
        <f>'Project Removal'!U7</f>
        <v>706081</v>
      </c>
      <c r="G15" s="14">
        <f t="shared" si="0"/>
        <v>718711</v>
      </c>
      <c r="H15" s="14">
        <f t="shared" si="1"/>
        <v>70608.100000000006</v>
      </c>
      <c r="I15" s="14">
        <f t="shared" si="2"/>
        <v>648102.9</v>
      </c>
    </row>
    <row r="16" spans="2:9">
      <c r="B16" s="3">
        <v>2020</v>
      </c>
      <c r="C16" s="14">
        <f>'Baseline Emission'!L7</f>
        <v>146059</v>
      </c>
      <c r="D16" s="14">
        <f>'Project Emission'!R7</f>
        <v>38352</v>
      </c>
      <c r="E16" s="14">
        <f>'Leakage Emission'!Q7</f>
        <v>93948</v>
      </c>
      <c r="F16" s="14">
        <f>'Project Removal'!U8</f>
        <v>706081</v>
      </c>
      <c r="G16" s="14">
        <f t="shared" si="0"/>
        <v>719840</v>
      </c>
      <c r="H16" s="14">
        <f t="shared" si="1"/>
        <v>70608.100000000006</v>
      </c>
      <c r="I16" s="14">
        <f t="shared" si="2"/>
        <v>649231.9</v>
      </c>
    </row>
    <row r="17" spans="2:9">
      <c r="B17" s="3">
        <v>2021</v>
      </c>
      <c r="C17" s="14">
        <f>'Baseline Emission'!L8</f>
        <v>146059</v>
      </c>
      <c r="D17" s="14">
        <f>'Project Emission'!R8</f>
        <v>38352</v>
      </c>
      <c r="E17" s="14">
        <f>'Leakage Emission'!Q8</f>
        <v>93948</v>
      </c>
      <c r="F17" s="14">
        <f>'Project Removal'!U9</f>
        <v>706081</v>
      </c>
      <c r="G17" s="14">
        <f t="shared" si="0"/>
        <v>719840</v>
      </c>
      <c r="H17" s="14">
        <f t="shared" si="1"/>
        <v>70608.100000000006</v>
      </c>
      <c r="I17" s="14">
        <f t="shared" si="2"/>
        <v>649231.9</v>
      </c>
    </row>
    <row r="18" spans="2:9">
      <c r="B18" s="3">
        <v>2022</v>
      </c>
      <c r="C18" s="14">
        <f>'Baseline Emission'!L9</f>
        <v>146059</v>
      </c>
      <c r="D18" s="14">
        <f>'Project Emission'!R9</f>
        <v>38352</v>
      </c>
      <c r="E18" s="14">
        <f>'Leakage Emission'!Q9</f>
        <v>93948</v>
      </c>
      <c r="F18" s="14">
        <f>'Project Removal'!U10</f>
        <v>706081</v>
      </c>
      <c r="G18" s="14">
        <f>C18-D18-E18+F18</f>
        <v>719840</v>
      </c>
      <c r="H18" s="14">
        <f t="shared" si="1"/>
        <v>70608.100000000006</v>
      </c>
      <c r="I18" s="14">
        <f t="shared" si="2"/>
        <v>649231.9</v>
      </c>
    </row>
    <row r="19" spans="2:9">
      <c r="B19" s="3">
        <v>2023</v>
      </c>
      <c r="C19" s="14">
        <f>'Baseline Emission'!L10</f>
        <v>146059</v>
      </c>
      <c r="D19" s="14">
        <f>'Project Emission'!R10</f>
        <v>38352</v>
      </c>
      <c r="E19" s="14">
        <f>'Leakage Emission'!Q10</f>
        <v>93948</v>
      </c>
      <c r="F19" s="14">
        <f>'Project Removal'!U11</f>
        <v>706081</v>
      </c>
      <c r="G19" s="14">
        <f t="shared" si="0"/>
        <v>719840</v>
      </c>
      <c r="H19" s="14">
        <f t="shared" si="1"/>
        <v>70608.100000000006</v>
      </c>
      <c r="I19" s="14">
        <f t="shared" si="2"/>
        <v>649231.9</v>
      </c>
    </row>
    <row r="20" spans="2:9">
      <c r="B20" s="3">
        <v>2024</v>
      </c>
      <c r="C20" s="14">
        <f>'Baseline Emission'!L11</f>
        <v>146059</v>
      </c>
      <c r="D20" s="14">
        <f>'Project Emission'!R11</f>
        <v>38352</v>
      </c>
      <c r="E20" s="14">
        <f>'Leakage Emission'!Q11</f>
        <v>93948</v>
      </c>
      <c r="F20" s="14">
        <f>'Project Removal'!U12</f>
        <v>706081</v>
      </c>
      <c r="G20" s="14">
        <f t="shared" si="0"/>
        <v>719840</v>
      </c>
      <c r="H20" s="14">
        <f t="shared" si="1"/>
        <v>70608.100000000006</v>
      </c>
      <c r="I20" s="14">
        <f t="shared" si="2"/>
        <v>649231.9</v>
      </c>
    </row>
    <row r="21" spans="2:9">
      <c r="B21" s="3">
        <v>2025</v>
      </c>
      <c r="C21" s="14">
        <f>'Baseline Emission'!L12</f>
        <v>146059</v>
      </c>
      <c r="D21" s="14">
        <f>'Project Emission'!R12</f>
        <v>38352</v>
      </c>
      <c r="E21" s="14">
        <f>'Leakage Emission'!Q12</f>
        <v>93948</v>
      </c>
      <c r="F21" s="14">
        <f>'Project Removal'!U13</f>
        <v>706081</v>
      </c>
      <c r="G21" s="14">
        <f t="shared" si="0"/>
        <v>719840</v>
      </c>
      <c r="H21" s="14">
        <f t="shared" si="1"/>
        <v>70608.100000000006</v>
      </c>
      <c r="I21" s="14">
        <f t="shared" si="2"/>
        <v>649231.9</v>
      </c>
    </row>
    <row r="22" spans="2:9">
      <c r="B22" s="3">
        <v>2026</v>
      </c>
      <c r="C22" s="14">
        <f>'Baseline Emission'!L13</f>
        <v>146059</v>
      </c>
      <c r="D22" s="14">
        <f>'Project Emission'!R13</f>
        <v>38352</v>
      </c>
      <c r="E22" s="14">
        <f>'Leakage Emission'!Q13</f>
        <v>93948</v>
      </c>
      <c r="F22" s="14">
        <f>'Project Removal'!U14</f>
        <v>706081</v>
      </c>
      <c r="G22" s="14">
        <f t="shared" si="0"/>
        <v>719840</v>
      </c>
      <c r="H22" s="14">
        <f t="shared" si="1"/>
        <v>70608.100000000006</v>
      </c>
      <c r="I22" s="14">
        <f t="shared" si="2"/>
        <v>649231.9</v>
      </c>
    </row>
    <row r="23" spans="2:9">
      <c r="B23" s="3">
        <v>2027</v>
      </c>
      <c r="C23" s="14">
        <f>'Baseline Emission'!L14</f>
        <v>146059</v>
      </c>
      <c r="D23" s="14">
        <f>'Project Emission'!R14</f>
        <v>38352</v>
      </c>
      <c r="E23" s="14">
        <f>'Leakage Emission'!Q14</f>
        <v>93948</v>
      </c>
      <c r="F23" s="14">
        <f>'Project Removal'!U15</f>
        <v>706081</v>
      </c>
      <c r="G23" s="14">
        <f t="shared" si="0"/>
        <v>719840</v>
      </c>
      <c r="H23" s="14">
        <f t="shared" si="1"/>
        <v>70608.100000000006</v>
      </c>
      <c r="I23" s="14">
        <f t="shared" si="2"/>
        <v>649231.9</v>
      </c>
    </row>
    <row r="24" spans="2:9">
      <c r="B24" s="3">
        <v>2028</v>
      </c>
      <c r="C24" s="14">
        <f>'Baseline Emission'!L15</f>
        <v>146059</v>
      </c>
      <c r="D24" s="14">
        <f>'Project Emission'!R15</f>
        <v>38352</v>
      </c>
      <c r="E24" s="14">
        <f>'Leakage Emission'!Q15</f>
        <v>93948</v>
      </c>
      <c r="F24" s="14">
        <f>'Project Removal'!U16</f>
        <v>706081</v>
      </c>
      <c r="G24" s="14">
        <f t="shared" si="0"/>
        <v>719840</v>
      </c>
      <c r="H24" s="14">
        <f t="shared" si="1"/>
        <v>70608.100000000006</v>
      </c>
      <c r="I24" s="14">
        <f t="shared" si="2"/>
        <v>649231.9</v>
      </c>
    </row>
    <row r="25" spans="2:9">
      <c r="B25" s="3">
        <v>2029</v>
      </c>
      <c r="C25" s="14">
        <f>'Baseline Emission'!L16</f>
        <v>146059</v>
      </c>
      <c r="D25" s="14">
        <f>'Project Emission'!R16</f>
        <v>38352</v>
      </c>
      <c r="E25" s="14">
        <f>'Leakage Emission'!Q16</f>
        <v>93948</v>
      </c>
      <c r="F25" s="14">
        <f>'Project Removal'!U17</f>
        <v>706081</v>
      </c>
      <c r="G25" s="14">
        <f t="shared" si="0"/>
        <v>719840</v>
      </c>
      <c r="H25" s="14">
        <f t="shared" si="1"/>
        <v>70608.100000000006</v>
      </c>
      <c r="I25" s="14">
        <f t="shared" si="2"/>
        <v>649231.9</v>
      </c>
    </row>
    <row r="26" spans="2:9">
      <c r="B26" s="3">
        <v>2030</v>
      </c>
      <c r="C26" s="14">
        <f>'Baseline Emission'!L17</f>
        <v>146059</v>
      </c>
      <c r="D26" s="14">
        <f>'Project Emission'!R17</f>
        <v>38352</v>
      </c>
      <c r="E26" s="14">
        <f>'Leakage Emission'!Q17</f>
        <v>93948</v>
      </c>
      <c r="F26" s="14">
        <f>'Project Removal'!U18</f>
        <v>706081</v>
      </c>
      <c r="G26" s="14">
        <f t="shared" si="0"/>
        <v>719840</v>
      </c>
      <c r="H26" s="14">
        <f t="shared" si="1"/>
        <v>70608.100000000006</v>
      </c>
      <c r="I26" s="14">
        <f t="shared" si="2"/>
        <v>649231.9</v>
      </c>
    </row>
    <row r="27" spans="2:9">
      <c r="B27" s="3">
        <v>2031</v>
      </c>
      <c r="C27" s="14">
        <f>'Baseline Emission'!L18</f>
        <v>146059</v>
      </c>
      <c r="D27" s="14">
        <f>'Project Emission'!R18</f>
        <v>38352</v>
      </c>
      <c r="E27" s="14">
        <f>'Leakage Emission'!Q18</f>
        <v>93948</v>
      </c>
      <c r="F27" s="14">
        <f>'Project Removal'!U19</f>
        <v>706081</v>
      </c>
      <c r="G27" s="14">
        <f t="shared" si="0"/>
        <v>719840</v>
      </c>
      <c r="H27" s="14">
        <f t="shared" si="1"/>
        <v>70608.100000000006</v>
      </c>
      <c r="I27" s="14">
        <f t="shared" si="2"/>
        <v>649231.9</v>
      </c>
    </row>
    <row r="28" spans="2:9">
      <c r="B28" s="3">
        <v>2032</v>
      </c>
      <c r="C28" s="14">
        <f>'Baseline Emission'!L19</f>
        <v>146059</v>
      </c>
      <c r="D28" s="14">
        <f>'Project Emission'!R19</f>
        <v>38352</v>
      </c>
      <c r="E28" s="14">
        <f>'Leakage Emission'!Q19</f>
        <v>93948</v>
      </c>
      <c r="F28" s="14">
        <f>'Project Removal'!U20</f>
        <v>706081</v>
      </c>
      <c r="G28" s="14">
        <f t="shared" si="0"/>
        <v>719840</v>
      </c>
      <c r="H28" s="14">
        <f t="shared" si="1"/>
        <v>70608.100000000006</v>
      </c>
      <c r="I28" s="14">
        <f t="shared" si="2"/>
        <v>649231.9</v>
      </c>
    </row>
    <row r="29" spans="2:9">
      <c r="B29" s="3">
        <v>2033</v>
      </c>
      <c r="C29" s="14">
        <f>'Baseline Emission'!L20</f>
        <v>146059</v>
      </c>
      <c r="D29" s="14">
        <f>'Project Emission'!R20</f>
        <v>38352</v>
      </c>
      <c r="E29" s="14">
        <f>'Leakage Emission'!Q20</f>
        <v>93948</v>
      </c>
      <c r="F29" s="14">
        <f>'Project Removal'!U21</f>
        <v>706081</v>
      </c>
      <c r="G29" s="14">
        <f t="shared" si="0"/>
        <v>719840</v>
      </c>
      <c r="H29" s="14">
        <f t="shared" si="1"/>
        <v>70608.100000000006</v>
      </c>
      <c r="I29" s="14">
        <f t="shared" si="2"/>
        <v>649231.9</v>
      </c>
    </row>
    <row r="30" spans="2:9">
      <c r="B30" s="3">
        <v>2034</v>
      </c>
      <c r="C30" s="14">
        <f>'Baseline Emission'!L21</f>
        <v>146059</v>
      </c>
      <c r="D30" s="14">
        <f>'Project Emission'!R21</f>
        <v>38352</v>
      </c>
      <c r="E30" s="14">
        <f>'Leakage Emission'!Q21</f>
        <v>93948</v>
      </c>
      <c r="F30" s="14">
        <f>'Project Removal'!U22</f>
        <v>706081</v>
      </c>
      <c r="G30" s="14">
        <f t="shared" si="0"/>
        <v>719840</v>
      </c>
      <c r="H30" s="14">
        <f t="shared" si="1"/>
        <v>70608.100000000006</v>
      </c>
      <c r="I30" s="14">
        <f t="shared" si="2"/>
        <v>649231.9</v>
      </c>
    </row>
    <row r="31" spans="2:9">
      <c r="B31" s="3">
        <v>2035</v>
      </c>
      <c r="C31" s="14">
        <f>'Baseline Emission'!L22</f>
        <v>146059</v>
      </c>
      <c r="D31" s="14">
        <f>'Project Emission'!R22</f>
        <v>38352</v>
      </c>
      <c r="E31" s="14">
        <f>'Leakage Emission'!Q22</f>
        <v>93948</v>
      </c>
      <c r="F31" s="14">
        <f>'Project Removal'!U23</f>
        <v>706081</v>
      </c>
      <c r="G31" s="14">
        <f t="shared" si="0"/>
        <v>719840</v>
      </c>
      <c r="H31" s="14">
        <f t="shared" si="1"/>
        <v>70608.100000000006</v>
      </c>
      <c r="I31" s="14">
        <f t="shared" si="2"/>
        <v>649231.9</v>
      </c>
    </row>
    <row r="32" spans="2:9">
      <c r="B32" s="3">
        <v>2036</v>
      </c>
      <c r="C32" s="14">
        <f>'Baseline Emission'!L23</f>
        <v>146059</v>
      </c>
      <c r="D32" s="14">
        <f>'Project Emission'!R23</f>
        <v>38352</v>
      </c>
      <c r="E32" s="14">
        <f>'Leakage Emission'!Q23</f>
        <v>93948</v>
      </c>
      <c r="F32" s="14">
        <f>'Project Removal'!U24</f>
        <v>706081</v>
      </c>
      <c r="G32" s="14">
        <f t="shared" si="0"/>
        <v>719840</v>
      </c>
      <c r="H32" s="14">
        <f t="shared" si="1"/>
        <v>70608.100000000006</v>
      </c>
      <c r="I32" s="14">
        <f t="shared" si="2"/>
        <v>649231.9</v>
      </c>
    </row>
    <row r="33" spans="2:9">
      <c r="B33" s="3">
        <v>2037</v>
      </c>
      <c r="C33" s="14">
        <f>'Baseline Emission'!L24</f>
        <v>146059</v>
      </c>
      <c r="D33" s="14">
        <f>'Project Emission'!R24</f>
        <v>38352</v>
      </c>
      <c r="E33" s="14">
        <f>'Leakage Emission'!Q24</f>
        <v>93948</v>
      </c>
      <c r="F33" s="14">
        <f>'Project Removal'!U25</f>
        <v>706081</v>
      </c>
      <c r="G33" s="14">
        <f t="shared" si="0"/>
        <v>719840</v>
      </c>
      <c r="H33" s="14">
        <f t="shared" si="1"/>
        <v>70608.100000000006</v>
      </c>
      <c r="I33" s="14">
        <f t="shared" si="2"/>
        <v>649231.9</v>
      </c>
    </row>
    <row r="34" spans="2:9">
      <c r="B34" s="3">
        <v>2038</v>
      </c>
      <c r="C34" s="14">
        <f>'Baseline Emission'!L25</f>
        <v>146059</v>
      </c>
      <c r="D34" s="14">
        <f>'Project Emission'!R25</f>
        <v>38352</v>
      </c>
      <c r="E34" s="14">
        <f>'Leakage Emission'!Q25</f>
        <v>93948</v>
      </c>
      <c r="F34" s="14">
        <f>'Project Removal'!U26</f>
        <v>706081</v>
      </c>
      <c r="G34" s="14">
        <f t="shared" si="0"/>
        <v>719840</v>
      </c>
      <c r="H34" s="14">
        <f t="shared" si="1"/>
        <v>70608.100000000006</v>
      </c>
      <c r="I34" s="14">
        <f t="shared" si="2"/>
        <v>649231.9</v>
      </c>
    </row>
    <row r="35" spans="2:9">
      <c r="B35" s="3">
        <v>2039</v>
      </c>
      <c r="C35" s="14">
        <f>'Baseline Emission'!L26</f>
        <v>146059</v>
      </c>
      <c r="D35" s="14">
        <f>'Project Emission'!R26</f>
        <v>38352</v>
      </c>
      <c r="E35" s="14">
        <f>'Leakage Emission'!Q27</f>
        <v>93948</v>
      </c>
      <c r="F35" s="14">
        <f>'Project Removal'!U27</f>
        <v>706081</v>
      </c>
      <c r="G35" s="14">
        <f t="shared" si="0"/>
        <v>719840</v>
      </c>
      <c r="H35" s="14">
        <f t="shared" si="1"/>
        <v>70608.100000000006</v>
      </c>
      <c r="I35" s="14">
        <f t="shared" si="2"/>
        <v>649231.9</v>
      </c>
    </row>
    <row r="36" spans="2:9">
      <c r="B36" s="3">
        <v>2040</v>
      </c>
      <c r="C36" s="14">
        <f>'Baseline Emission'!L27</f>
        <v>146059</v>
      </c>
      <c r="D36" s="14">
        <f>'Project Emission'!R27</f>
        <v>38352</v>
      </c>
      <c r="E36" s="14">
        <f>'Leakage Emission'!Q26</f>
        <v>93948</v>
      </c>
      <c r="F36" s="14">
        <f>'Project Removal'!U28</f>
        <v>706081</v>
      </c>
      <c r="G36" s="14">
        <f t="shared" si="0"/>
        <v>719840</v>
      </c>
      <c r="H36" s="14">
        <f t="shared" si="1"/>
        <v>70608.100000000006</v>
      </c>
      <c r="I36" s="14">
        <f t="shared" si="2"/>
        <v>649231.9</v>
      </c>
    </row>
    <row r="37" spans="2:9">
      <c r="B37" s="3">
        <v>2041</v>
      </c>
      <c r="C37" s="14">
        <f>'Baseline Emission'!L28</f>
        <v>146059</v>
      </c>
      <c r="D37" s="14">
        <f>'Project Emission'!R28</f>
        <v>38352</v>
      </c>
      <c r="E37" s="14">
        <f>'Leakage Emission'!Q28</f>
        <v>93948</v>
      </c>
      <c r="F37" s="14">
        <f>'Project Removal'!U29</f>
        <v>706081</v>
      </c>
      <c r="G37" s="14">
        <f t="shared" si="0"/>
        <v>719840</v>
      </c>
      <c r="H37" s="14">
        <f t="shared" si="1"/>
        <v>70608.100000000006</v>
      </c>
      <c r="I37" s="14">
        <f t="shared" si="2"/>
        <v>649231.9</v>
      </c>
    </row>
    <row r="38" spans="2:9">
      <c r="B38" s="3">
        <v>2042</v>
      </c>
      <c r="C38" s="14">
        <f>'Baseline Emission'!L29</f>
        <v>146059</v>
      </c>
      <c r="D38" s="14">
        <f>'Project Emission'!R29</f>
        <v>38352</v>
      </c>
      <c r="E38" s="14">
        <f>'Leakage Emission'!Q29</f>
        <v>93948</v>
      </c>
      <c r="F38" s="14">
        <f>'Project Removal'!U30</f>
        <v>706081</v>
      </c>
      <c r="G38" s="14">
        <f t="shared" si="0"/>
        <v>719840</v>
      </c>
      <c r="H38" s="14">
        <f t="shared" si="1"/>
        <v>70608.100000000006</v>
      </c>
      <c r="I38" s="14">
        <f t="shared" si="2"/>
        <v>649231.9</v>
      </c>
    </row>
    <row r="39" spans="2:9">
      <c r="B39" s="3">
        <v>2043</v>
      </c>
      <c r="C39" s="14">
        <f>'Baseline Emission'!L30</f>
        <v>146059</v>
      </c>
      <c r="D39" s="14">
        <f>'Project Emission'!R30</f>
        <v>38352</v>
      </c>
      <c r="E39" s="14">
        <f>'Leakage Emission'!Q30</f>
        <v>93948</v>
      </c>
      <c r="F39" s="14">
        <f>'Project Removal'!U31</f>
        <v>706081</v>
      </c>
      <c r="G39" s="14">
        <f t="shared" si="0"/>
        <v>719840</v>
      </c>
      <c r="H39" s="14">
        <f t="shared" si="1"/>
        <v>70608.100000000006</v>
      </c>
      <c r="I39" s="14">
        <f t="shared" si="2"/>
        <v>649231.9</v>
      </c>
    </row>
    <row r="40" spans="2:9">
      <c r="B40" s="3">
        <v>2044</v>
      </c>
      <c r="C40" s="14">
        <f>'Baseline Emission'!L31</f>
        <v>146059</v>
      </c>
      <c r="D40" s="14">
        <f>'Project Emission'!R31</f>
        <v>38352</v>
      </c>
      <c r="E40" s="14">
        <f>'Leakage Emission'!Q31</f>
        <v>93948</v>
      </c>
      <c r="F40" s="14">
        <f>'Project Removal'!U32</f>
        <v>706081</v>
      </c>
      <c r="G40" s="14">
        <f t="shared" si="0"/>
        <v>719840</v>
      </c>
      <c r="H40" s="14">
        <f t="shared" si="1"/>
        <v>70608.100000000006</v>
      </c>
      <c r="I40" s="14">
        <f t="shared" si="2"/>
        <v>649231.9</v>
      </c>
    </row>
    <row r="41" spans="2:9">
      <c r="B41" s="3">
        <v>2045</v>
      </c>
      <c r="C41" s="14">
        <f>'Baseline Emission'!L32</f>
        <v>146059</v>
      </c>
      <c r="D41" s="14">
        <f>'Project Emission'!R32</f>
        <v>38352</v>
      </c>
      <c r="E41" s="14">
        <f>'Leakage Emission'!Q32</f>
        <v>93948</v>
      </c>
      <c r="F41" s="14">
        <f>'Project Removal'!U33</f>
        <v>706081</v>
      </c>
      <c r="G41" s="14">
        <f t="shared" si="0"/>
        <v>719840</v>
      </c>
      <c r="H41" s="14">
        <f t="shared" si="1"/>
        <v>70608.100000000006</v>
      </c>
      <c r="I41" s="14">
        <f t="shared" si="2"/>
        <v>649231.9</v>
      </c>
    </row>
    <row r="42" spans="2:9">
      <c r="B42" s="3">
        <v>2046</v>
      </c>
      <c r="C42" s="14">
        <f>'Baseline Emission'!L33</f>
        <v>146059</v>
      </c>
      <c r="D42" s="14">
        <f>'Project Emission'!R33</f>
        <v>38352</v>
      </c>
      <c r="E42" s="14">
        <f>'Leakage Emission'!Q33</f>
        <v>93948</v>
      </c>
      <c r="F42" s="14">
        <f>'Project Removal'!U34</f>
        <v>706081</v>
      </c>
      <c r="G42" s="14">
        <f t="shared" si="0"/>
        <v>719840</v>
      </c>
      <c r="H42" s="14">
        <f t="shared" si="1"/>
        <v>70608.100000000006</v>
      </c>
      <c r="I42" s="14">
        <f t="shared" si="2"/>
        <v>649231.9</v>
      </c>
    </row>
    <row r="43" spans="2:9">
      <c r="B43" s="3">
        <v>2047</v>
      </c>
      <c r="C43" s="14">
        <f>'Baseline Emission'!L34</f>
        <v>146059</v>
      </c>
      <c r="D43" s="14">
        <f>'Project Emission'!R34</f>
        <v>38352</v>
      </c>
      <c r="E43" s="14">
        <f>'Leakage Emission'!Q34</f>
        <v>93948</v>
      </c>
      <c r="F43" s="14">
        <f>'Project Removal'!U35</f>
        <v>706081</v>
      </c>
      <c r="G43" s="14">
        <f t="shared" si="0"/>
        <v>719840</v>
      </c>
      <c r="H43" s="14">
        <f t="shared" si="1"/>
        <v>70608.100000000006</v>
      </c>
      <c r="I43" s="14">
        <f t="shared" si="2"/>
        <v>649231.9</v>
      </c>
    </row>
    <row r="44" spans="2:9">
      <c r="B44" s="3">
        <v>2048</v>
      </c>
      <c r="C44" s="14">
        <f>'Baseline Emission'!L35</f>
        <v>146059</v>
      </c>
      <c r="D44" s="14">
        <f>'Project Emission'!R35</f>
        <v>38352</v>
      </c>
      <c r="E44" s="14">
        <f>'Leakage Emission'!Q35</f>
        <v>93948</v>
      </c>
      <c r="F44" s="14">
        <f>'Project Removal'!U36</f>
        <v>706081</v>
      </c>
      <c r="G44" s="14">
        <f t="shared" si="0"/>
        <v>719840</v>
      </c>
      <c r="H44" s="14">
        <f t="shared" si="1"/>
        <v>70608.100000000006</v>
      </c>
      <c r="I44" s="14">
        <f t="shared" si="2"/>
        <v>649231.9</v>
      </c>
    </row>
    <row r="45" spans="2:9">
      <c r="B45" s="3">
        <v>2049</v>
      </c>
      <c r="C45" s="14">
        <f>'Baseline Emission'!L36</f>
        <v>146059</v>
      </c>
      <c r="D45" s="14">
        <f>'Project Emission'!R36</f>
        <v>38352</v>
      </c>
      <c r="E45" s="14">
        <f>'Leakage Emission'!Q36</f>
        <v>93948</v>
      </c>
      <c r="F45" s="14">
        <f>'Project Removal'!U37</f>
        <v>706081</v>
      </c>
      <c r="G45" s="14">
        <f t="shared" si="0"/>
        <v>719840</v>
      </c>
      <c r="H45" s="14">
        <f t="shared" si="1"/>
        <v>70608.100000000006</v>
      </c>
      <c r="I45" s="14">
        <f t="shared" si="2"/>
        <v>649231.9</v>
      </c>
    </row>
    <row r="46" spans="2:9">
      <c r="B46" s="3">
        <v>2050</v>
      </c>
      <c r="C46" s="14">
        <f>'Baseline Emission'!L37</f>
        <v>146059</v>
      </c>
      <c r="D46" s="14">
        <f>'Project Emission'!R37</f>
        <v>38352</v>
      </c>
      <c r="E46" s="14">
        <f>'Leakage Emission'!Q37</f>
        <v>93948</v>
      </c>
      <c r="F46" s="14">
        <f>'Project Removal'!U38</f>
        <v>706081</v>
      </c>
      <c r="G46" s="14">
        <f t="shared" si="0"/>
        <v>719840</v>
      </c>
      <c r="H46" s="14">
        <f t="shared" si="1"/>
        <v>70608.100000000006</v>
      </c>
      <c r="I46" s="14">
        <f t="shared" si="2"/>
        <v>649231.9</v>
      </c>
    </row>
    <row r="47" spans="2:9">
      <c r="B47" s="3">
        <v>2051</v>
      </c>
      <c r="C47" s="14">
        <f>'Baseline Emission'!L38</f>
        <v>146059</v>
      </c>
      <c r="D47" s="14">
        <f>'Project Emission'!R38</f>
        <v>38352</v>
      </c>
      <c r="E47" s="14">
        <f>'Leakage Emission'!Q38</f>
        <v>93948</v>
      </c>
      <c r="F47" s="14">
        <f>'Project Removal'!U39</f>
        <v>706081</v>
      </c>
      <c r="G47" s="14">
        <f t="shared" si="0"/>
        <v>719840</v>
      </c>
      <c r="H47" s="14">
        <f t="shared" si="1"/>
        <v>70608.100000000006</v>
      </c>
      <c r="I47" s="14">
        <f t="shared" si="2"/>
        <v>649231.9</v>
      </c>
    </row>
    <row r="48" spans="2:9">
      <c r="B48" s="3">
        <v>2052</v>
      </c>
      <c r="C48" s="14">
        <f>'Baseline Emission'!L39</f>
        <v>146059</v>
      </c>
      <c r="D48" s="14">
        <f>'Project Emission'!R39</f>
        <v>38352</v>
      </c>
      <c r="E48" s="14">
        <f>'Leakage Emission'!Q39</f>
        <v>93948</v>
      </c>
      <c r="F48" s="14">
        <f>'Project Removal'!U40</f>
        <v>706081</v>
      </c>
      <c r="G48" s="14">
        <f t="shared" si="0"/>
        <v>719840</v>
      </c>
      <c r="H48" s="14">
        <f t="shared" si="1"/>
        <v>70608.100000000006</v>
      </c>
      <c r="I48" s="14">
        <f t="shared" si="2"/>
        <v>649231.9</v>
      </c>
    </row>
    <row r="49" spans="2:9">
      <c r="B49" s="3">
        <v>2053</v>
      </c>
      <c r="C49" s="14">
        <f>'Baseline Emission'!L40</f>
        <v>146059</v>
      </c>
      <c r="D49" s="14">
        <f>'Project Emission'!R40</f>
        <v>38352</v>
      </c>
      <c r="E49" s="14">
        <f>'Leakage Emission'!Q40</f>
        <v>93948</v>
      </c>
      <c r="F49" s="14">
        <f>'Project Removal'!U41</f>
        <v>706081</v>
      </c>
      <c r="G49" s="14">
        <f t="shared" si="0"/>
        <v>719840</v>
      </c>
      <c r="H49" s="14">
        <f t="shared" si="1"/>
        <v>70608.100000000006</v>
      </c>
      <c r="I49" s="14">
        <f t="shared" si="2"/>
        <v>649231.9</v>
      </c>
    </row>
    <row r="50" spans="2:9">
      <c r="B50" s="3">
        <v>2054</v>
      </c>
      <c r="C50" s="14">
        <f>'Baseline Emission'!L41</f>
        <v>146059</v>
      </c>
      <c r="D50" s="14">
        <f>'Project Emission'!R41</f>
        <v>38352</v>
      </c>
      <c r="E50" s="14">
        <f>'Leakage Emission'!Q41</f>
        <v>93948</v>
      </c>
      <c r="F50" s="14">
        <f>'Project Removal'!U42</f>
        <v>706081</v>
      </c>
      <c r="G50" s="14">
        <f t="shared" si="0"/>
        <v>719840</v>
      </c>
      <c r="H50" s="14">
        <f t="shared" si="1"/>
        <v>70608.100000000006</v>
      </c>
      <c r="I50" s="14">
        <f t="shared" si="2"/>
        <v>649231.9</v>
      </c>
    </row>
    <row r="51" spans="2:9">
      <c r="B51" s="3">
        <v>2055</v>
      </c>
      <c r="C51" s="14">
        <f>'Baseline Emission'!L42</f>
        <v>146059</v>
      </c>
      <c r="D51" s="14">
        <f>'Project Emission'!R42</f>
        <v>38352</v>
      </c>
      <c r="E51" s="14">
        <f>'Leakage Emission'!Q42</f>
        <v>93948</v>
      </c>
      <c r="F51" s="14">
        <f>'Project Removal'!U43</f>
        <v>706081</v>
      </c>
      <c r="G51" s="14">
        <f t="shared" si="0"/>
        <v>719840</v>
      </c>
      <c r="H51" s="14">
        <f t="shared" si="1"/>
        <v>70608.100000000006</v>
      </c>
      <c r="I51" s="14">
        <f t="shared" si="2"/>
        <v>649231.9</v>
      </c>
    </row>
    <row r="52" spans="2:9">
      <c r="B52" s="3">
        <v>2056</v>
      </c>
      <c r="C52" s="14">
        <f>'Baseline Emission'!L43</f>
        <v>146059</v>
      </c>
      <c r="D52" s="14">
        <f>'Project Emission'!R43</f>
        <v>38352</v>
      </c>
      <c r="E52" s="14">
        <f>'Leakage Emission'!Q43</f>
        <v>93948</v>
      </c>
      <c r="F52" s="14">
        <f>'Project Removal'!U44</f>
        <v>706081</v>
      </c>
      <c r="G52" s="14">
        <f t="shared" si="0"/>
        <v>719840</v>
      </c>
      <c r="H52" s="14">
        <f t="shared" si="1"/>
        <v>70608.100000000006</v>
      </c>
      <c r="I52" s="14">
        <f t="shared" si="2"/>
        <v>649231.9</v>
      </c>
    </row>
    <row r="53" spans="2:9" ht="12.95">
      <c r="B53" s="55" t="s">
        <v>24</v>
      </c>
      <c r="C53" s="59">
        <f>SUM(C13:C52)</f>
        <v>5842360</v>
      </c>
      <c r="D53" s="59">
        <f t="shared" ref="D53:E53" si="3">SUM(D13:D52)</f>
        <v>1641848</v>
      </c>
      <c r="E53" s="59">
        <f t="shared" si="3"/>
        <v>3654219</v>
      </c>
      <c r="F53" s="59">
        <f t="shared" ref="F53:I53" si="4">SUM(F13:F52)</f>
        <v>28243240</v>
      </c>
      <c r="G53" s="59">
        <f t="shared" si="4"/>
        <v>28789533</v>
      </c>
      <c r="H53" s="59">
        <f t="shared" si="4"/>
        <v>2824324.0000000019</v>
      </c>
      <c r="I53" s="59">
        <f t="shared" si="4"/>
        <v>25965208.999999985</v>
      </c>
    </row>
    <row r="54" spans="2:9" ht="12.95">
      <c r="B54" s="55" t="s">
        <v>25</v>
      </c>
      <c r="C54" s="59">
        <f>C53/40</f>
        <v>146059</v>
      </c>
      <c r="D54" s="59">
        <f t="shared" ref="D54:E54" si="5">D53/40</f>
        <v>41046.199999999997</v>
      </c>
      <c r="E54" s="59">
        <f t="shared" si="5"/>
        <v>91355.475000000006</v>
      </c>
      <c r="F54" s="59">
        <f t="shared" ref="F54:I54" si="6">F53/40</f>
        <v>706081</v>
      </c>
      <c r="G54" s="59">
        <f t="shared" si="6"/>
        <v>719738.32499999995</v>
      </c>
      <c r="H54" s="59">
        <f t="shared" si="6"/>
        <v>70608.100000000049</v>
      </c>
      <c r="I54" s="59">
        <f t="shared" si="6"/>
        <v>649130.22499999963</v>
      </c>
    </row>
    <row r="55" spans="2:9">
      <c r="E55" s="4"/>
      <c r="G55" s="5"/>
    </row>
    <row r="56" spans="2:9">
      <c r="G56" s="5"/>
    </row>
  </sheetData>
  <mergeCells count="1">
    <mergeCell ref="B11:B12"/>
  </mergeCells>
  <phoneticPr fontId="2" type="noConversion"/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F5D5C-2FB2-4B9E-98EC-842303F9F768}">
  <dimension ref="B2:O13"/>
  <sheetViews>
    <sheetView workbookViewId="0">
      <selection activeCell="B2" sqref="B2:H8"/>
    </sheetView>
  </sheetViews>
  <sheetFormatPr defaultColWidth="8.875" defaultRowHeight="12.6"/>
  <cols>
    <col min="1" max="1" width="1.375" style="37" customWidth="1"/>
    <col min="2" max="2" width="8.875" style="37"/>
    <col min="3" max="3" width="12.375" style="37" customWidth="1"/>
    <col min="4" max="4" width="20.125" style="37" customWidth="1"/>
    <col min="5" max="5" width="11.625" style="37" customWidth="1"/>
    <col min="6" max="6" width="17.75" style="37" customWidth="1"/>
    <col min="7" max="7" width="14.25" style="37" customWidth="1"/>
    <col min="8" max="9" width="15.625" style="37" customWidth="1"/>
    <col min="10" max="10" width="10.125" style="37" customWidth="1"/>
    <col min="11" max="11" width="9.75" style="37" bestFit="1" customWidth="1"/>
    <col min="12" max="12" width="15.375" style="37" customWidth="1"/>
    <col min="13" max="13" width="17.625" style="37" customWidth="1"/>
    <col min="14" max="14" width="9" style="37" bestFit="1" customWidth="1"/>
    <col min="15" max="15" width="10" style="37" customWidth="1"/>
    <col min="16" max="16" width="8.875" style="37"/>
    <col min="17" max="17" width="13.25" style="37" customWidth="1"/>
    <col min="18" max="18" width="10.875" style="37" customWidth="1"/>
    <col min="19" max="16384" width="8.875" style="37"/>
  </cols>
  <sheetData>
    <row r="2" spans="2:15" s="30" customFormat="1" ht="15.95">
      <c r="B2" s="79" t="s">
        <v>171</v>
      </c>
      <c r="C2" s="79" t="s">
        <v>220</v>
      </c>
      <c r="D2" s="79" t="s">
        <v>221</v>
      </c>
      <c r="E2" s="79" t="s">
        <v>174</v>
      </c>
      <c r="F2" s="79" t="s">
        <v>222</v>
      </c>
      <c r="G2" s="79" t="s">
        <v>176</v>
      </c>
      <c r="H2" s="79" t="s">
        <v>223</v>
      </c>
      <c r="I2" s="77" t="s">
        <v>178</v>
      </c>
    </row>
    <row r="3" spans="2:15" ht="13.35" customHeight="1">
      <c r="B3" s="31" t="s">
        <v>224</v>
      </c>
      <c r="C3" s="32">
        <v>0.23089999999999999</v>
      </c>
      <c r="D3" s="33">
        <v>1.07</v>
      </c>
      <c r="E3" s="33">
        <v>39.590000000000003</v>
      </c>
      <c r="F3" s="34">
        <f>E3/1.724</f>
        <v>22.964037122969838</v>
      </c>
      <c r="G3" s="35">
        <v>30</v>
      </c>
      <c r="H3" s="36">
        <f>ROUND(F3*D3*G3*(1-C3)*0.1,2)</f>
        <v>56.69</v>
      </c>
      <c r="I3" s="114" t="s">
        <v>180</v>
      </c>
      <c r="K3" s="30"/>
    </row>
    <row r="4" spans="2:15">
      <c r="B4" s="31" t="s">
        <v>225</v>
      </c>
      <c r="C4" s="32">
        <v>0.23269999999999999</v>
      </c>
      <c r="D4" s="33">
        <v>0.95</v>
      </c>
      <c r="E4" s="33">
        <v>40.21</v>
      </c>
      <c r="F4" s="34">
        <f t="shared" ref="F4:F8" si="0">E4/1.724</f>
        <v>23.323665893271464</v>
      </c>
      <c r="G4" s="35">
        <v>30</v>
      </c>
      <c r="H4" s="36">
        <f t="shared" ref="H4:H8" si="1">ROUND(F4*D4*G4*(1-C4)*0.1,2)</f>
        <v>51</v>
      </c>
      <c r="I4" s="115"/>
      <c r="K4" s="30"/>
    </row>
    <row r="5" spans="2:15">
      <c r="B5" s="31" t="s">
        <v>226</v>
      </c>
      <c r="C5" s="32">
        <v>0.2999</v>
      </c>
      <c r="D5" s="33">
        <v>0.94</v>
      </c>
      <c r="E5" s="33">
        <v>34.479999999999997</v>
      </c>
      <c r="F5" s="34">
        <f t="shared" si="0"/>
        <v>20</v>
      </c>
      <c r="G5" s="35">
        <v>30</v>
      </c>
      <c r="H5" s="36">
        <f t="shared" si="1"/>
        <v>39.49</v>
      </c>
      <c r="I5" s="115"/>
      <c r="K5" s="30"/>
    </row>
    <row r="6" spans="2:15">
      <c r="B6" s="31" t="s">
        <v>227</v>
      </c>
      <c r="C6" s="32">
        <v>0.26140000000000002</v>
      </c>
      <c r="D6" s="33">
        <v>1.07</v>
      </c>
      <c r="E6" s="33">
        <v>50.35</v>
      </c>
      <c r="F6" s="34">
        <f t="shared" si="0"/>
        <v>29.205336426914155</v>
      </c>
      <c r="G6" s="35">
        <v>30</v>
      </c>
      <c r="H6" s="36">
        <f t="shared" si="1"/>
        <v>69.239999999999995</v>
      </c>
      <c r="I6" s="115"/>
      <c r="K6" s="30"/>
    </row>
    <row r="7" spans="2:15">
      <c r="B7" s="31" t="s">
        <v>228</v>
      </c>
      <c r="C7" s="32">
        <v>0.22689999999999999</v>
      </c>
      <c r="D7" s="33">
        <v>1.03</v>
      </c>
      <c r="E7" s="33">
        <v>23.48</v>
      </c>
      <c r="F7" s="34">
        <f t="shared" si="0"/>
        <v>13.619489559164734</v>
      </c>
      <c r="G7" s="35">
        <v>30</v>
      </c>
      <c r="H7" s="36">
        <f t="shared" si="1"/>
        <v>32.54</v>
      </c>
      <c r="I7" s="115"/>
      <c r="K7" s="30"/>
    </row>
    <row r="8" spans="2:15">
      <c r="B8" s="31" t="s">
        <v>229</v>
      </c>
      <c r="C8" s="32">
        <v>0.33339999999999997</v>
      </c>
      <c r="D8" s="33">
        <v>0.96</v>
      </c>
      <c r="E8" s="33">
        <v>10.27</v>
      </c>
      <c r="F8" s="34">
        <f t="shared" si="0"/>
        <v>5.9570765661252896</v>
      </c>
      <c r="G8" s="35">
        <v>30</v>
      </c>
      <c r="H8" s="36">
        <f t="shared" si="1"/>
        <v>11.44</v>
      </c>
      <c r="I8" s="115"/>
      <c r="K8" s="30"/>
    </row>
    <row r="9" spans="2:15" ht="13.7" customHeight="1">
      <c r="B9" s="31"/>
      <c r="C9" s="31"/>
      <c r="D9" s="109" t="s">
        <v>186</v>
      </c>
      <c r="E9" s="110"/>
      <c r="F9" s="111"/>
      <c r="G9" s="38"/>
      <c r="H9" s="39">
        <f>AVERAGE(H3:H8)</f>
        <v>43.400000000000006</v>
      </c>
      <c r="I9" s="31"/>
      <c r="K9" s="30"/>
    </row>
    <row r="10" spans="2:15" ht="13.7" customHeight="1">
      <c r="B10" s="31"/>
      <c r="C10" s="31"/>
      <c r="D10" s="109" t="s">
        <v>187</v>
      </c>
      <c r="E10" s="110"/>
      <c r="F10" s="111"/>
      <c r="G10" s="38"/>
      <c r="H10" s="39">
        <f>STDEVA(H3:H8)</f>
        <v>20.281809583959692</v>
      </c>
      <c r="I10" s="31"/>
      <c r="K10" s="30"/>
    </row>
    <row r="11" spans="2:15" ht="13.7" customHeight="1">
      <c r="B11" s="31"/>
      <c r="C11" s="31"/>
      <c r="D11" s="112" t="s">
        <v>188</v>
      </c>
      <c r="E11" s="112"/>
      <c r="F11" s="112"/>
      <c r="G11" s="41"/>
      <c r="H11" s="39">
        <f>STDEVA(H3:H8)</f>
        <v>20.281809583959692</v>
      </c>
      <c r="I11" s="31"/>
      <c r="K11" s="30"/>
    </row>
    <row r="12" spans="2:15" ht="13.7" customHeight="1">
      <c r="B12" s="31"/>
      <c r="C12" s="31"/>
      <c r="D12" s="112" t="s">
        <v>189</v>
      </c>
      <c r="E12" s="112"/>
      <c r="F12" s="112"/>
      <c r="G12" s="41"/>
      <c r="H12" s="39">
        <f>ROUND(AVERAGE(H3:H8),2)</f>
        <v>43.4</v>
      </c>
      <c r="I12" s="31"/>
    </row>
    <row r="13" spans="2:15" ht="13.7" customHeight="1">
      <c r="O13" s="40"/>
    </row>
  </sheetData>
  <mergeCells count="5">
    <mergeCell ref="I3:I8"/>
    <mergeCell ref="D9:F9"/>
    <mergeCell ref="D10:F10"/>
    <mergeCell ref="D11:F11"/>
    <mergeCell ref="D12:F12"/>
  </mergeCells>
  <phoneticPr fontId="2" type="noConversion"/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93256-E21A-4F20-B263-175F5BABB395}">
  <dimension ref="B2:O13"/>
  <sheetViews>
    <sheetView workbookViewId="0">
      <selection activeCell="H12" sqref="H12"/>
    </sheetView>
  </sheetViews>
  <sheetFormatPr defaultColWidth="8.875" defaultRowHeight="12.6"/>
  <cols>
    <col min="1" max="1" width="1.375" style="37" customWidth="1"/>
    <col min="2" max="2" width="8.875" style="37"/>
    <col min="3" max="3" width="12.375" style="37" customWidth="1"/>
    <col min="4" max="4" width="20.125" style="37" customWidth="1"/>
    <col min="5" max="5" width="11.625" style="37" customWidth="1"/>
    <col min="6" max="6" width="17.75" style="37" customWidth="1"/>
    <col min="7" max="7" width="14.25" style="37" customWidth="1"/>
    <col min="8" max="9" width="15.625" style="37" customWidth="1"/>
    <col min="10" max="10" width="10.125" style="37" customWidth="1"/>
    <col min="11" max="11" width="9.75" style="37" bestFit="1" customWidth="1"/>
    <col min="12" max="12" width="15.375" style="37" customWidth="1"/>
    <col min="13" max="13" width="17.625" style="37" customWidth="1"/>
    <col min="14" max="14" width="9" style="37" bestFit="1" customWidth="1"/>
    <col min="15" max="15" width="10" style="37" customWidth="1"/>
    <col min="16" max="16" width="8.875" style="37"/>
    <col min="17" max="17" width="13.25" style="37" customWidth="1"/>
    <col min="18" max="18" width="10.875" style="37" customWidth="1"/>
    <col min="19" max="16384" width="8.875" style="37"/>
  </cols>
  <sheetData>
    <row r="2" spans="2:15" s="30" customFormat="1" ht="15.95">
      <c r="B2" s="79" t="s">
        <v>171</v>
      </c>
      <c r="C2" s="79" t="s">
        <v>172</v>
      </c>
      <c r="D2" s="79" t="s">
        <v>230</v>
      </c>
      <c r="E2" s="79" t="s">
        <v>174</v>
      </c>
      <c r="F2" s="79" t="s">
        <v>231</v>
      </c>
      <c r="G2" s="79" t="s">
        <v>176</v>
      </c>
      <c r="H2" s="79" t="s">
        <v>232</v>
      </c>
      <c r="I2" s="77" t="s">
        <v>178</v>
      </c>
    </row>
    <row r="3" spans="2:15" ht="13.35" customHeight="1">
      <c r="B3" s="31" t="s">
        <v>233</v>
      </c>
      <c r="C3" s="32">
        <v>0.1056</v>
      </c>
      <c r="D3" s="33">
        <v>0.93</v>
      </c>
      <c r="E3" s="33">
        <v>52.85</v>
      </c>
      <c r="F3" s="34">
        <f>E3/1.724</f>
        <v>30.655452436194896</v>
      </c>
      <c r="G3" s="35">
        <v>30</v>
      </c>
      <c r="H3" s="36">
        <f>ROUND(F3*D3*G3*(1-C3)*0.1,2)</f>
        <v>76.5</v>
      </c>
      <c r="I3" s="114" t="s">
        <v>180</v>
      </c>
      <c r="K3" s="30"/>
    </row>
    <row r="4" spans="2:15">
      <c r="B4" s="31" t="s">
        <v>234</v>
      </c>
      <c r="C4" s="32">
        <v>0.10340000000000001</v>
      </c>
      <c r="D4" s="33">
        <v>1.04</v>
      </c>
      <c r="E4" s="33">
        <v>49.32</v>
      </c>
      <c r="F4" s="34">
        <f t="shared" ref="F4:F8" si="0">E4/1.724</f>
        <v>28.607888631090489</v>
      </c>
      <c r="G4" s="35">
        <v>30</v>
      </c>
      <c r="H4" s="36">
        <f t="shared" ref="H4:H8" si="1">ROUND(F4*D4*G4*(1-C4)*0.1,2)</f>
        <v>80.03</v>
      </c>
      <c r="I4" s="115"/>
      <c r="K4" s="30"/>
    </row>
    <row r="5" spans="2:15">
      <c r="B5" s="31" t="s">
        <v>235</v>
      </c>
      <c r="C5" s="32">
        <v>9.1899999999999996E-2</v>
      </c>
      <c r="D5" s="33">
        <v>1</v>
      </c>
      <c r="E5" s="33">
        <v>41.25</v>
      </c>
      <c r="F5" s="34">
        <f t="shared" si="0"/>
        <v>23.926914153132252</v>
      </c>
      <c r="G5" s="35">
        <v>30</v>
      </c>
      <c r="H5" s="36">
        <f t="shared" si="1"/>
        <v>65.180000000000007</v>
      </c>
      <c r="I5" s="115"/>
      <c r="K5" s="30"/>
    </row>
    <row r="6" spans="2:15">
      <c r="B6" s="31" t="s">
        <v>236</v>
      </c>
      <c r="C6" s="32">
        <v>0.16600000000000001</v>
      </c>
      <c r="D6" s="33">
        <v>1.1200000000000001</v>
      </c>
      <c r="E6" s="33">
        <v>56.66</v>
      </c>
      <c r="F6" s="34">
        <f t="shared" si="0"/>
        <v>32.865429234338748</v>
      </c>
      <c r="G6" s="35">
        <v>30</v>
      </c>
      <c r="H6" s="36">
        <f t="shared" si="1"/>
        <v>92.1</v>
      </c>
      <c r="I6" s="115"/>
      <c r="K6" s="30"/>
    </row>
    <row r="7" spans="2:15">
      <c r="B7" s="31" t="s">
        <v>237</v>
      </c>
      <c r="C7" s="32">
        <v>0.20979999999999999</v>
      </c>
      <c r="D7" s="33">
        <v>0.97</v>
      </c>
      <c r="E7" s="33">
        <v>26.74</v>
      </c>
      <c r="F7" s="34">
        <f t="shared" si="0"/>
        <v>15.51044083526682</v>
      </c>
      <c r="G7" s="35">
        <v>30</v>
      </c>
      <c r="H7" s="36">
        <f t="shared" si="1"/>
        <v>35.67</v>
      </c>
      <c r="I7" s="115"/>
      <c r="K7" s="30"/>
    </row>
    <row r="8" spans="2:15">
      <c r="B8" s="31" t="s">
        <v>238</v>
      </c>
      <c r="C8" s="32">
        <v>0.20810000000000001</v>
      </c>
      <c r="D8" s="33">
        <v>0.9</v>
      </c>
      <c r="E8" s="33">
        <v>21.69</v>
      </c>
      <c r="F8" s="34">
        <f t="shared" si="0"/>
        <v>12.581206496519723</v>
      </c>
      <c r="G8" s="35">
        <v>30</v>
      </c>
      <c r="H8" s="36">
        <f t="shared" si="1"/>
        <v>26.9</v>
      </c>
      <c r="I8" s="115"/>
      <c r="K8" s="30"/>
    </row>
    <row r="9" spans="2:15" ht="13.7" customHeight="1">
      <c r="B9" s="31"/>
      <c r="C9" s="31"/>
      <c r="D9" s="109" t="s">
        <v>186</v>
      </c>
      <c r="E9" s="110"/>
      <c r="F9" s="111"/>
      <c r="G9" s="38"/>
      <c r="H9" s="39">
        <f>AVERAGE(H3:H8)</f>
        <v>62.73</v>
      </c>
      <c r="I9" s="31"/>
      <c r="K9" s="30"/>
    </row>
    <row r="10" spans="2:15" ht="13.7" customHeight="1">
      <c r="B10" s="31"/>
      <c r="C10" s="31"/>
      <c r="D10" s="109" t="s">
        <v>187</v>
      </c>
      <c r="E10" s="110"/>
      <c r="F10" s="111"/>
      <c r="G10" s="38"/>
      <c r="H10" s="39">
        <f>STDEVA(H3:H8)</f>
        <v>25.975121943890855</v>
      </c>
      <c r="I10" s="31"/>
      <c r="K10" s="30"/>
    </row>
    <row r="11" spans="2:15" ht="13.7" customHeight="1">
      <c r="B11" s="31"/>
      <c r="C11" s="31"/>
      <c r="D11" s="112" t="s">
        <v>188</v>
      </c>
      <c r="E11" s="112"/>
      <c r="F11" s="112"/>
      <c r="G11" s="41"/>
      <c r="H11" s="39">
        <f>STDEVA(H3:H8)</f>
        <v>25.975121943890855</v>
      </c>
      <c r="I11" s="31"/>
      <c r="K11" s="30"/>
    </row>
    <row r="12" spans="2:15" ht="13.7" customHeight="1">
      <c r="B12" s="31"/>
      <c r="C12" s="31"/>
      <c r="D12" s="112" t="s">
        <v>189</v>
      </c>
      <c r="E12" s="112"/>
      <c r="F12" s="112"/>
      <c r="G12" s="41"/>
      <c r="H12" s="39">
        <f>ROUND(AVERAGE(H3:H8),2)</f>
        <v>62.73</v>
      </c>
      <c r="I12" s="31"/>
    </row>
    <row r="13" spans="2:15" ht="13.7" customHeight="1">
      <c r="O13" s="40"/>
    </row>
  </sheetData>
  <mergeCells count="5">
    <mergeCell ref="I3:I8"/>
    <mergeCell ref="D9:F9"/>
    <mergeCell ref="D10:F10"/>
    <mergeCell ref="D11:F11"/>
    <mergeCell ref="D12:F12"/>
  </mergeCells>
  <phoneticPr fontId="2" type="noConversion"/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09D46-57D4-406B-AC0B-6AC199D24282}">
  <dimension ref="B2:O13"/>
  <sheetViews>
    <sheetView workbookViewId="0">
      <selection activeCell="B2" sqref="B2:H8"/>
    </sheetView>
  </sheetViews>
  <sheetFormatPr defaultColWidth="8.875" defaultRowHeight="12.6"/>
  <cols>
    <col min="1" max="1" width="1.375" style="37" customWidth="1"/>
    <col min="2" max="2" width="8.875" style="37"/>
    <col min="3" max="3" width="12.375" style="37" customWidth="1"/>
    <col min="4" max="4" width="20.125" style="37" customWidth="1"/>
    <col min="5" max="5" width="11.625" style="37" customWidth="1"/>
    <col min="6" max="6" width="17.75" style="37" customWidth="1"/>
    <col min="7" max="7" width="14.25" style="37" customWidth="1"/>
    <col min="8" max="9" width="15.625" style="37" customWidth="1"/>
    <col min="10" max="10" width="10.125" style="37" customWidth="1"/>
    <col min="11" max="11" width="9.75" style="37" bestFit="1" customWidth="1"/>
    <col min="12" max="12" width="15.375" style="37" customWidth="1"/>
    <col min="13" max="13" width="17.625" style="37" customWidth="1"/>
    <col min="14" max="14" width="9" style="37" bestFit="1" customWidth="1"/>
    <col min="15" max="15" width="10" style="37" customWidth="1"/>
    <col min="16" max="16" width="8.875" style="37"/>
    <col min="17" max="17" width="13.25" style="37" customWidth="1"/>
    <col min="18" max="18" width="10.875" style="37" customWidth="1"/>
    <col min="19" max="16384" width="8.875" style="37"/>
  </cols>
  <sheetData>
    <row r="2" spans="2:15" s="30" customFormat="1" ht="15.95">
      <c r="B2" s="79" t="s">
        <v>171</v>
      </c>
      <c r="C2" s="79" t="s">
        <v>239</v>
      </c>
      <c r="D2" s="79" t="s">
        <v>240</v>
      </c>
      <c r="E2" s="79" t="s">
        <v>174</v>
      </c>
      <c r="F2" s="79" t="s">
        <v>241</v>
      </c>
      <c r="G2" s="79" t="s">
        <v>176</v>
      </c>
      <c r="H2" s="79" t="s">
        <v>242</v>
      </c>
      <c r="I2" s="77" t="s">
        <v>178</v>
      </c>
    </row>
    <row r="3" spans="2:15" ht="13.35" customHeight="1">
      <c r="B3" s="31" t="s">
        <v>243</v>
      </c>
      <c r="C3" s="32">
        <v>0.2044</v>
      </c>
      <c r="D3" s="33">
        <v>1.01</v>
      </c>
      <c r="E3" s="33">
        <v>23.53</v>
      </c>
      <c r="F3" s="34">
        <f>E3/1.724</f>
        <v>13.648491879350349</v>
      </c>
      <c r="G3" s="35">
        <v>30</v>
      </c>
      <c r="H3" s="36">
        <f>ROUND(F3*D3*G3*(1-C3)*0.1,2)</f>
        <v>32.9</v>
      </c>
      <c r="I3" s="114" t="s">
        <v>180</v>
      </c>
      <c r="K3" s="30"/>
    </row>
    <row r="4" spans="2:15">
      <c r="B4" s="31" t="s">
        <v>244</v>
      </c>
      <c r="C4" s="32">
        <v>0.2319</v>
      </c>
      <c r="D4" s="33">
        <v>0.92</v>
      </c>
      <c r="E4" s="33">
        <v>17.100000000000001</v>
      </c>
      <c r="F4" s="34">
        <f t="shared" ref="F4:F8" si="0">E4/1.724</f>
        <v>9.9187935034802788</v>
      </c>
      <c r="G4" s="35">
        <v>30</v>
      </c>
      <c r="H4" s="36">
        <f t="shared" ref="H4:H8" si="1">ROUND(F4*D4*G4*(1-C4)*0.1,2)</f>
        <v>21.03</v>
      </c>
      <c r="I4" s="115"/>
      <c r="K4" s="30"/>
    </row>
    <row r="5" spans="2:15">
      <c r="B5" s="31" t="s">
        <v>245</v>
      </c>
      <c r="C5" s="32">
        <v>0.22359999999999999</v>
      </c>
      <c r="D5" s="33">
        <v>1.1299999999999999</v>
      </c>
      <c r="E5" s="33">
        <v>25.62</v>
      </c>
      <c r="F5" s="34">
        <f t="shared" si="0"/>
        <v>14.86078886310905</v>
      </c>
      <c r="G5" s="35">
        <v>30</v>
      </c>
      <c r="H5" s="36">
        <f t="shared" si="1"/>
        <v>39.11</v>
      </c>
      <c r="I5" s="115"/>
      <c r="K5" s="30"/>
    </row>
    <row r="6" spans="2:15">
      <c r="B6" s="31" t="s">
        <v>246</v>
      </c>
      <c r="C6" s="32">
        <v>0.18579999999999999</v>
      </c>
      <c r="D6" s="33">
        <v>0.9</v>
      </c>
      <c r="E6" s="33">
        <v>46.96</v>
      </c>
      <c r="F6" s="34">
        <f t="shared" si="0"/>
        <v>27.238979118329468</v>
      </c>
      <c r="G6" s="35">
        <v>30</v>
      </c>
      <c r="H6" s="36">
        <f t="shared" si="1"/>
        <v>59.88</v>
      </c>
      <c r="I6" s="115"/>
      <c r="K6" s="30"/>
    </row>
    <row r="7" spans="2:15">
      <c r="B7" s="31" t="s">
        <v>247</v>
      </c>
      <c r="C7" s="32">
        <v>0.14119999999999999</v>
      </c>
      <c r="D7" s="33">
        <v>0.97</v>
      </c>
      <c r="E7" s="33">
        <v>59.31</v>
      </c>
      <c r="F7" s="34">
        <f t="shared" si="0"/>
        <v>34.402552204176338</v>
      </c>
      <c r="G7" s="35">
        <v>30</v>
      </c>
      <c r="H7" s="36">
        <f t="shared" si="1"/>
        <v>85.98</v>
      </c>
      <c r="I7" s="115"/>
      <c r="K7" s="30"/>
    </row>
    <row r="8" spans="2:15">
      <c r="B8" s="31" t="s">
        <v>248</v>
      </c>
      <c r="C8" s="32">
        <v>0.1734</v>
      </c>
      <c r="D8" s="33">
        <v>0.9</v>
      </c>
      <c r="E8" s="33">
        <v>43.3</v>
      </c>
      <c r="F8" s="34">
        <f t="shared" si="0"/>
        <v>25.116009280742457</v>
      </c>
      <c r="G8" s="35">
        <v>30</v>
      </c>
      <c r="H8" s="36">
        <f t="shared" si="1"/>
        <v>56.05</v>
      </c>
      <c r="I8" s="115"/>
      <c r="K8" s="30"/>
    </row>
    <row r="9" spans="2:15" ht="13.7" customHeight="1">
      <c r="B9" s="31"/>
      <c r="C9" s="31"/>
      <c r="D9" s="109" t="s">
        <v>186</v>
      </c>
      <c r="E9" s="110"/>
      <c r="F9" s="111"/>
      <c r="G9" s="38"/>
      <c r="H9" s="39">
        <f>AVERAGE(H3:H8)</f>
        <v>49.158333333333331</v>
      </c>
      <c r="I9" s="31"/>
      <c r="K9" s="30"/>
    </row>
    <row r="10" spans="2:15" ht="13.7" customHeight="1">
      <c r="B10" s="31"/>
      <c r="C10" s="31"/>
      <c r="D10" s="109" t="s">
        <v>187</v>
      </c>
      <c r="E10" s="110"/>
      <c r="F10" s="111"/>
      <c r="G10" s="38"/>
      <c r="H10" s="39">
        <f>STDEVA(H3:H8)</f>
        <v>23.12915858103505</v>
      </c>
      <c r="I10" s="31"/>
      <c r="K10" s="30"/>
    </row>
    <row r="11" spans="2:15" ht="13.7" customHeight="1">
      <c r="B11" s="31"/>
      <c r="C11" s="31"/>
      <c r="D11" s="112" t="s">
        <v>188</v>
      </c>
      <c r="E11" s="112"/>
      <c r="F11" s="112"/>
      <c r="G11" s="41"/>
      <c r="H11" s="39">
        <f>STDEVA(H3:H8)</f>
        <v>23.12915858103505</v>
      </c>
      <c r="I11" s="31"/>
      <c r="K11" s="30"/>
    </row>
    <row r="12" spans="2:15" ht="13.7" customHeight="1">
      <c r="B12" s="31"/>
      <c r="C12" s="31"/>
      <c r="D12" s="112" t="s">
        <v>189</v>
      </c>
      <c r="E12" s="112"/>
      <c r="F12" s="112"/>
      <c r="G12" s="41"/>
      <c r="H12" s="39">
        <f>ROUND(AVERAGE(H3:H8),2)</f>
        <v>49.16</v>
      </c>
      <c r="I12" s="31"/>
    </row>
    <row r="13" spans="2:15" ht="13.7" customHeight="1">
      <c r="O13" s="40"/>
    </row>
  </sheetData>
  <mergeCells count="5">
    <mergeCell ref="I3:I8"/>
    <mergeCell ref="D9:F9"/>
    <mergeCell ref="D10:F10"/>
    <mergeCell ref="D11:F11"/>
    <mergeCell ref="D12:F12"/>
  </mergeCells>
  <phoneticPr fontId="2" type="noConversion"/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C6D02-8715-41CB-B560-514771A2AB35}">
  <dimension ref="B2:O16"/>
  <sheetViews>
    <sheetView workbookViewId="0">
      <selection activeCell="H15" sqref="H15"/>
    </sheetView>
  </sheetViews>
  <sheetFormatPr defaultColWidth="8.875" defaultRowHeight="12.6"/>
  <cols>
    <col min="1" max="1" width="1.375" style="37" customWidth="1"/>
    <col min="2" max="2" width="8.875" style="37"/>
    <col min="3" max="3" width="12.375" style="37" customWidth="1"/>
    <col min="4" max="4" width="20.125" style="37" customWidth="1"/>
    <col min="5" max="5" width="11.625" style="37" customWidth="1"/>
    <col min="6" max="6" width="17.75" style="37" customWidth="1"/>
    <col min="7" max="7" width="14.25" style="37" customWidth="1"/>
    <col min="8" max="9" width="15.625" style="37" customWidth="1"/>
    <col min="10" max="10" width="10.125" style="37" customWidth="1"/>
    <col min="11" max="11" width="9.75" style="37" bestFit="1" customWidth="1"/>
    <col min="12" max="12" width="15.375" style="37" customWidth="1"/>
    <col min="13" max="13" width="17.625" style="37" customWidth="1"/>
    <col min="14" max="14" width="9" style="37" bestFit="1" customWidth="1"/>
    <col min="15" max="15" width="10" style="37" customWidth="1"/>
    <col min="16" max="16" width="8.875" style="37"/>
    <col min="17" max="17" width="13.25" style="37" customWidth="1"/>
    <col min="18" max="18" width="10.875" style="37" customWidth="1"/>
    <col min="19" max="16384" width="8.875" style="37"/>
  </cols>
  <sheetData>
    <row r="2" spans="2:15" s="30" customFormat="1" ht="15.95">
      <c r="B2" s="80" t="s">
        <v>171</v>
      </c>
      <c r="C2" s="79" t="s">
        <v>249</v>
      </c>
      <c r="D2" s="79" t="s">
        <v>250</v>
      </c>
      <c r="E2" s="79" t="s">
        <v>174</v>
      </c>
      <c r="F2" s="79" t="s">
        <v>251</v>
      </c>
      <c r="G2" s="79" t="s">
        <v>176</v>
      </c>
      <c r="H2" s="80" t="s">
        <v>252</v>
      </c>
      <c r="I2" s="77" t="s">
        <v>178</v>
      </c>
    </row>
    <row r="3" spans="2:15" ht="13.35" customHeight="1">
      <c r="B3" s="3" t="s">
        <v>253</v>
      </c>
      <c r="C3" s="18">
        <v>0.2707</v>
      </c>
      <c r="D3" s="81">
        <v>0.89</v>
      </c>
      <c r="E3" s="82">
        <v>42.33</v>
      </c>
      <c r="F3" s="83">
        <f>E3/1.724</f>
        <v>24.553364269141532</v>
      </c>
      <c r="G3" s="35">
        <v>30</v>
      </c>
      <c r="H3" s="81">
        <f>ROUND(F3*D3*G3*(1-C3)*0.1,2)</f>
        <v>47.81</v>
      </c>
      <c r="I3" s="114" t="s">
        <v>180</v>
      </c>
      <c r="K3" s="30"/>
    </row>
    <row r="4" spans="2:15" ht="13.35" customHeight="1">
      <c r="B4" s="3" t="s">
        <v>254</v>
      </c>
      <c r="C4" s="18">
        <v>0.1047</v>
      </c>
      <c r="D4" s="82">
        <v>1.06</v>
      </c>
      <c r="E4" s="82">
        <v>48.24</v>
      </c>
      <c r="F4" s="83">
        <f t="shared" ref="F4:F11" si="0">E4/1.724</f>
        <v>27.981438515081209</v>
      </c>
      <c r="G4" s="35">
        <v>30</v>
      </c>
      <c r="H4" s="81">
        <f t="shared" ref="H4:H11" si="1">ROUND(F4*D4*G4*(1-C4)*0.1,2)</f>
        <v>79.66</v>
      </c>
      <c r="I4" s="115"/>
      <c r="K4" s="30"/>
    </row>
    <row r="5" spans="2:15" ht="13.35" customHeight="1">
      <c r="B5" s="3" t="s">
        <v>255</v>
      </c>
      <c r="C5" s="18">
        <v>0.1447</v>
      </c>
      <c r="D5" s="82">
        <v>1.04</v>
      </c>
      <c r="E5" s="82">
        <v>67.94</v>
      </c>
      <c r="F5" s="83">
        <f t="shared" si="0"/>
        <v>39.408352668213453</v>
      </c>
      <c r="G5" s="35">
        <v>30</v>
      </c>
      <c r="H5" s="81">
        <f t="shared" si="1"/>
        <v>105.16</v>
      </c>
      <c r="I5" s="115"/>
      <c r="K5" s="30"/>
    </row>
    <row r="6" spans="2:15" ht="13.35" customHeight="1">
      <c r="B6" s="3" t="s">
        <v>256</v>
      </c>
      <c r="C6" s="18">
        <v>0.1416</v>
      </c>
      <c r="D6" s="82">
        <v>0.82</v>
      </c>
      <c r="E6" s="82">
        <v>42.41</v>
      </c>
      <c r="F6" s="83">
        <f t="shared" si="0"/>
        <v>24.599767981438514</v>
      </c>
      <c r="G6" s="35">
        <v>30</v>
      </c>
      <c r="H6" s="81">
        <f t="shared" si="1"/>
        <v>51.95</v>
      </c>
      <c r="I6" s="115"/>
      <c r="K6" s="30"/>
    </row>
    <row r="7" spans="2:15" ht="13.35" customHeight="1">
      <c r="B7" s="3" t="s">
        <v>257</v>
      </c>
      <c r="C7" s="18">
        <v>7.9200000000000007E-2</v>
      </c>
      <c r="D7" s="82">
        <v>1.05</v>
      </c>
      <c r="E7" s="82">
        <v>47.39</v>
      </c>
      <c r="F7" s="83">
        <f t="shared" si="0"/>
        <v>27.488399071925755</v>
      </c>
      <c r="G7" s="35">
        <v>30</v>
      </c>
      <c r="H7" s="81">
        <f t="shared" si="1"/>
        <v>79.73</v>
      </c>
      <c r="I7" s="115"/>
      <c r="K7" s="30"/>
    </row>
    <row r="8" spans="2:15">
      <c r="B8" s="3" t="s">
        <v>258</v>
      </c>
      <c r="C8" s="18">
        <v>0.1046</v>
      </c>
      <c r="D8" s="82">
        <v>0.91</v>
      </c>
      <c r="E8" s="82">
        <v>50.73</v>
      </c>
      <c r="F8" s="83">
        <f t="shared" si="0"/>
        <v>29.425754060324824</v>
      </c>
      <c r="G8" s="35">
        <v>30</v>
      </c>
      <c r="H8" s="81">
        <f t="shared" si="1"/>
        <v>71.930000000000007</v>
      </c>
      <c r="I8" s="115"/>
      <c r="K8" s="30"/>
    </row>
    <row r="9" spans="2:15">
      <c r="B9" s="3" t="s">
        <v>259</v>
      </c>
      <c r="C9" s="18">
        <v>0.14269999999999999</v>
      </c>
      <c r="D9" s="82">
        <v>1.06</v>
      </c>
      <c r="E9" s="82">
        <v>40.67</v>
      </c>
      <c r="F9" s="83">
        <f t="shared" si="0"/>
        <v>23.590487238979119</v>
      </c>
      <c r="G9" s="35">
        <v>30</v>
      </c>
      <c r="H9" s="81">
        <f t="shared" si="1"/>
        <v>64.31</v>
      </c>
      <c r="I9" s="115"/>
      <c r="K9" s="30"/>
    </row>
    <row r="10" spans="2:15">
      <c r="B10" s="3" t="s">
        <v>260</v>
      </c>
      <c r="C10" s="18">
        <v>0.12709999999999999</v>
      </c>
      <c r="D10" s="82">
        <v>0.88</v>
      </c>
      <c r="E10" s="82">
        <v>52.83</v>
      </c>
      <c r="F10" s="83">
        <f t="shared" si="0"/>
        <v>30.643851508120648</v>
      </c>
      <c r="G10" s="35">
        <v>30</v>
      </c>
      <c r="H10" s="81">
        <f t="shared" si="1"/>
        <v>70.62</v>
      </c>
      <c r="I10" s="115"/>
      <c r="K10" s="30"/>
    </row>
    <row r="11" spans="2:15">
      <c r="B11" s="3" t="s">
        <v>261</v>
      </c>
      <c r="C11" s="18">
        <v>0.16109999999999999</v>
      </c>
      <c r="D11" s="82">
        <v>1.02</v>
      </c>
      <c r="E11" s="82">
        <v>55.44</v>
      </c>
      <c r="F11" s="83">
        <f t="shared" si="0"/>
        <v>32.157772621809741</v>
      </c>
      <c r="G11" s="35">
        <v>30</v>
      </c>
      <c r="H11" s="81">
        <f t="shared" si="1"/>
        <v>82.55</v>
      </c>
      <c r="I11" s="115"/>
      <c r="K11" s="30"/>
    </row>
    <row r="12" spans="2:15" ht="13.7" customHeight="1">
      <c r="B12" s="31"/>
      <c r="C12" s="31"/>
      <c r="D12" s="109" t="s">
        <v>186</v>
      </c>
      <c r="E12" s="110"/>
      <c r="F12" s="111"/>
      <c r="G12" s="38"/>
      <c r="H12" s="39">
        <f>AVERAGE(H3:H11)</f>
        <v>72.635555555555555</v>
      </c>
      <c r="I12" s="31"/>
      <c r="K12" s="30"/>
    </row>
    <row r="13" spans="2:15" ht="13.7" customHeight="1">
      <c r="B13" s="31"/>
      <c r="C13" s="31"/>
      <c r="D13" s="109" t="s">
        <v>187</v>
      </c>
      <c r="E13" s="110"/>
      <c r="F13" s="111"/>
      <c r="G13" s="38"/>
      <c r="H13" s="39">
        <f>STDEVA(H3:H11)</f>
        <v>17.226016741480844</v>
      </c>
      <c r="I13" s="31"/>
      <c r="K13" s="30"/>
    </row>
    <row r="14" spans="2:15" ht="13.7" customHeight="1">
      <c r="B14" s="31"/>
      <c r="C14" s="31"/>
      <c r="D14" s="112" t="s">
        <v>188</v>
      </c>
      <c r="E14" s="112"/>
      <c r="F14" s="112"/>
      <c r="G14" s="41"/>
      <c r="H14" s="39">
        <f>STDEVA(H3:H11)</f>
        <v>17.226016741480844</v>
      </c>
      <c r="I14" s="31"/>
      <c r="K14" s="30"/>
    </row>
    <row r="15" spans="2:15" ht="13.7" customHeight="1">
      <c r="B15" s="31"/>
      <c r="C15" s="31"/>
      <c r="D15" s="112" t="s">
        <v>189</v>
      </c>
      <c r="E15" s="112"/>
      <c r="F15" s="112"/>
      <c r="G15" s="41"/>
      <c r="H15" s="39">
        <f>ROUND(AVERAGE(H3:H11),2)</f>
        <v>72.64</v>
      </c>
      <c r="I15" s="31"/>
    </row>
    <row r="16" spans="2:15" ht="13.7" customHeight="1">
      <c r="O16" s="40"/>
    </row>
  </sheetData>
  <mergeCells count="5">
    <mergeCell ref="I3:I11"/>
    <mergeCell ref="D12:F12"/>
    <mergeCell ref="D13:F13"/>
    <mergeCell ref="D14:F14"/>
    <mergeCell ref="D15:F15"/>
  </mergeCells>
  <phoneticPr fontId="2" type="noConversion"/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981D2-EF40-452B-9E9F-3CA36A3555B6}">
  <dimension ref="B2:O13"/>
  <sheetViews>
    <sheetView workbookViewId="0">
      <selection activeCell="B2" sqref="B2:H8"/>
    </sheetView>
  </sheetViews>
  <sheetFormatPr defaultColWidth="8.875" defaultRowHeight="12.6"/>
  <cols>
    <col min="1" max="1" width="1.375" style="37" customWidth="1"/>
    <col min="2" max="2" width="8.875" style="37"/>
    <col min="3" max="3" width="12.375" style="37" customWidth="1"/>
    <col min="4" max="4" width="20.125" style="37" customWidth="1"/>
    <col min="5" max="5" width="11.625" style="37" customWidth="1"/>
    <col min="6" max="6" width="17.75" style="37" customWidth="1"/>
    <col min="7" max="7" width="14.25" style="37" customWidth="1"/>
    <col min="8" max="9" width="15.625" style="37" customWidth="1"/>
    <col min="10" max="10" width="10.125" style="37" customWidth="1"/>
    <col min="11" max="11" width="9.75" style="37" bestFit="1" customWidth="1"/>
    <col min="12" max="12" width="15.375" style="37" customWidth="1"/>
    <col min="13" max="13" width="17.625" style="37" customWidth="1"/>
    <col min="14" max="14" width="9" style="37" bestFit="1" customWidth="1"/>
    <col min="15" max="15" width="10" style="37" customWidth="1"/>
    <col min="16" max="16" width="8.875" style="37"/>
    <col min="17" max="17" width="13.25" style="37" customWidth="1"/>
    <col min="18" max="18" width="10.875" style="37" customWidth="1"/>
    <col min="19" max="16384" width="8.875" style="37"/>
  </cols>
  <sheetData>
    <row r="2" spans="2:15" s="30" customFormat="1" ht="15.95">
      <c r="B2" s="79" t="s">
        <v>171</v>
      </c>
      <c r="C2" s="79" t="s">
        <v>262</v>
      </c>
      <c r="D2" s="79" t="s">
        <v>263</v>
      </c>
      <c r="E2" s="79" t="s">
        <v>174</v>
      </c>
      <c r="F2" s="79" t="s">
        <v>264</v>
      </c>
      <c r="G2" s="79" t="s">
        <v>176</v>
      </c>
      <c r="H2" s="79" t="s">
        <v>265</v>
      </c>
      <c r="I2" s="77" t="s">
        <v>178</v>
      </c>
    </row>
    <row r="3" spans="2:15" ht="13.35" customHeight="1">
      <c r="B3" s="31" t="s">
        <v>266</v>
      </c>
      <c r="C3" s="32">
        <v>0.13070000000000001</v>
      </c>
      <c r="D3" s="33">
        <v>0.96</v>
      </c>
      <c r="E3" s="33">
        <v>56.84</v>
      </c>
      <c r="F3" s="34">
        <f>E3/1.724</f>
        <v>32.969837587006964</v>
      </c>
      <c r="G3" s="35">
        <v>30</v>
      </c>
      <c r="H3" s="36">
        <f>ROUND(F3*D3*G3*(1-C3)*0.1,2)</f>
        <v>82.54</v>
      </c>
      <c r="I3" s="114" t="s">
        <v>180</v>
      </c>
      <c r="K3" s="30"/>
    </row>
    <row r="4" spans="2:15">
      <c r="B4" s="31" t="s">
        <v>267</v>
      </c>
      <c r="C4" s="32">
        <v>0.15479999999999999</v>
      </c>
      <c r="D4" s="33">
        <v>1.06</v>
      </c>
      <c r="E4" s="33">
        <v>48.59</v>
      </c>
      <c r="F4" s="34">
        <f t="shared" ref="F4:F8" si="0">E4/1.724</f>
        <v>28.184454756380514</v>
      </c>
      <c r="G4" s="35">
        <v>30</v>
      </c>
      <c r="H4" s="36">
        <f t="shared" ref="H4:H8" si="1">ROUND(F4*D4*G4*(1-C4)*0.1,2)</f>
        <v>75.75</v>
      </c>
      <c r="I4" s="115"/>
      <c r="K4" s="30"/>
    </row>
    <row r="5" spans="2:15">
      <c r="B5" s="31" t="s">
        <v>268</v>
      </c>
      <c r="C5" s="32">
        <v>0.16489999999999999</v>
      </c>
      <c r="D5" s="33">
        <v>1.02</v>
      </c>
      <c r="E5" s="33">
        <v>57.42</v>
      </c>
      <c r="F5" s="34">
        <f t="shared" si="0"/>
        <v>33.306264501160094</v>
      </c>
      <c r="G5" s="35">
        <v>30</v>
      </c>
      <c r="H5" s="36">
        <f t="shared" si="1"/>
        <v>85.11</v>
      </c>
      <c r="I5" s="115"/>
      <c r="K5" s="30"/>
    </row>
    <row r="6" spans="2:15">
      <c r="B6" s="31" t="s">
        <v>269</v>
      </c>
      <c r="C6" s="32">
        <v>0.18290000000000001</v>
      </c>
      <c r="D6" s="33">
        <v>1.07</v>
      </c>
      <c r="E6" s="33">
        <v>39.479999999999997</v>
      </c>
      <c r="F6" s="34">
        <f t="shared" si="0"/>
        <v>22.900232018561482</v>
      </c>
      <c r="G6" s="35">
        <v>30</v>
      </c>
      <c r="H6" s="36">
        <f t="shared" si="1"/>
        <v>60.06</v>
      </c>
      <c r="I6" s="115"/>
      <c r="K6" s="30"/>
    </row>
    <row r="7" spans="2:15">
      <c r="B7" s="31" t="s">
        <v>270</v>
      </c>
      <c r="C7" s="32">
        <v>0.1623</v>
      </c>
      <c r="D7" s="33">
        <v>0.92</v>
      </c>
      <c r="E7" s="33">
        <v>44.34</v>
      </c>
      <c r="F7" s="34">
        <f t="shared" si="0"/>
        <v>25.719257540603252</v>
      </c>
      <c r="G7" s="35">
        <v>30</v>
      </c>
      <c r="H7" s="36">
        <f t="shared" si="1"/>
        <v>59.46</v>
      </c>
      <c r="I7" s="115"/>
      <c r="K7" s="30"/>
    </row>
    <row r="8" spans="2:15">
      <c r="B8" s="31" t="s">
        <v>271</v>
      </c>
      <c r="C8" s="32">
        <v>0.16250000000000001</v>
      </c>
      <c r="D8" s="33">
        <v>0.9</v>
      </c>
      <c r="E8" s="33">
        <v>66.36</v>
      </c>
      <c r="F8" s="34">
        <f t="shared" si="0"/>
        <v>38.491879350348029</v>
      </c>
      <c r="G8" s="35">
        <v>30</v>
      </c>
      <c r="H8" s="36">
        <f t="shared" si="1"/>
        <v>87.04</v>
      </c>
      <c r="I8" s="115"/>
      <c r="K8" s="30"/>
    </row>
    <row r="9" spans="2:15" ht="13.7" customHeight="1">
      <c r="B9" s="31"/>
      <c r="C9" s="31"/>
      <c r="D9" s="109" t="s">
        <v>186</v>
      </c>
      <c r="E9" s="110"/>
      <c r="F9" s="111"/>
      <c r="G9" s="38"/>
      <c r="H9" s="39">
        <f>AVERAGE(H3:H8)</f>
        <v>74.993333333333339</v>
      </c>
      <c r="I9" s="31"/>
      <c r="K9" s="30"/>
    </row>
    <row r="10" spans="2:15" ht="13.7" customHeight="1">
      <c r="B10" s="31"/>
      <c r="C10" s="31"/>
      <c r="D10" s="109" t="s">
        <v>187</v>
      </c>
      <c r="E10" s="110"/>
      <c r="F10" s="111"/>
      <c r="G10" s="38"/>
      <c r="H10" s="39">
        <f>STDEVA(H3:H8)</f>
        <v>12.403892399834223</v>
      </c>
      <c r="I10" s="31"/>
      <c r="K10" s="30"/>
    </row>
    <row r="11" spans="2:15" ht="13.7" customHeight="1">
      <c r="B11" s="31"/>
      <c r="C11" s="31"/>
      <c r="D11" s="112" t="s">
        <v>188</v>
      </c>
      <c r="E11" s="112"/>
      <c r="F11" s="112"/>
      <c r="G11" s="41"/>
      <c r="H11" s="39">
        <f>STDEVA(H3:H8)</f>
        <v>12.403892399834223</v>
      </c>
      <c r="I11" s="31"/>
      <c r="K11" s="30"/>
    </row>
    <row r="12" spans="2:15" ht="13.7" customHeight="1">
      <c r="B12" s="31"/>
      <c r="C12" s="31"/>
      <c r="D12" s="112" t="s">
        <v>189</v>
      </c>
      <c r="E12" s="112"/>
      <c r="F12" s="112"/>
      <c r="G12" s="41"/>
      <c r="H12" s="39">
        <f>ROUND(AVERAGE(H3:H8),2)</f>
        <v>74.989999999999995</v>
      </c>
      <c r="I12" s="31"/>
    </row>
    <row r="13" spans="2:15" ht="13.7" customHeight="1">
      <c r="O13" s="40"/>
    </row>
  </sheetData>
  <mergeCells count="5">
    <mergeCell ref="I3:I8"/>
    <mergeCell ref="D9:F9"/>
    <mergeCell ref="D10:F10"/>
    <mergeCell ref="D11:F11"/>
    <mergeCell ref="D12:F12"/>
  </mergeCells>
  <phoneticPr fontId="2" type="noConversion"/>
  <pageMargins left="0.7" right="0.7" top="0.75" bottom="0.75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C8080-545F-4218-94B8-8CD8C27B8860}">
  <dimension ref="B2:O16"/>
  <sheetViews>
    <sheetView workbookViewId="0">
      <selection activeCell="B2" sqref="B2:H11"/>
    </sheetView>
  </sheetViews>
  <sheetFormatPr defaultColWidth="8.875" defaultRowHeight="12.6"/>
  <cols>
    <col min="1" max="1" width="1.375" style="37" customWidth="1"/>
    <col min="2" max="2" width="8.875" style="37"/>
    <col min="3" max="3" width="12.375" style="37" customWidth="1"/>
    <col min="4" max="4" width="20.125" style="37" customWidth="1"/>
    <col min="5" max="5" width="11.625" style="37" customWidth="1"/>
    <col min="6" max="6" width="17.75" style="37" customWidth="1"/>
    <col min="7" max="7" width="14.25" style="37" customWidth="1"/>
    <col min="8" max="9" width="15.625" style="37" customWidth="1"/>
    <col min="10" max="10" width="10.125" style="37" customWidth="1"/>
    <col min="11" max="11" width="9.75" style="37" bestFit="1" customWidth="1"/>
    <col min="12" max="12" width="15.375" style="37" customWidth="1"/>
    <col min="13" max="13" width="17.625" style="37" customWidth="1"/>
    <col min="14" max="14" width="9" style="37" bestFit="1" customWidth="1"/>
    <col min="15" max="15" width="10" style="37" customWidth="1"/>
    <col min="16" max="16" width="8.875" style="37"/>
    <col min="17" max="17" width="13.25" style="37" customWidth="1"/>
    <col min="18" max="18" width="10.875" style="37" customWidth="1"/>
    <col min="19" max="16384" width="8.875" style="37"/>
  </cols>
  <sheetData>
    <row r="2" spans="2:15" s="30" customFormat="1" ht="27.95">
      <c r="B2" s="79" t="s">
        <v>171</v>
      </c>
      <c r="C2" s="79" t="s">
        <v>272</v>
      </c>
      <c r="D2" s="79" t="s">
        <v>273</v>
      </c>
      <c r="E2" s="79" t="s">
        <v>174</v>
      </c>
      <c r="F2" s="79" t="s">
        <v>274</v>
      </c>
      <c r="G2" s="79" t="s">
        <v>176</v>
      </c>
      <c r="H2" s="79" t="s">
        <v>275</v>
      </c>
      <c r="I2" s="77" t="s">
        <v>178</v>
      </c>
    </row>
    <row r="3" spans="2:15" ht="13.35" customHeight="1">
      <c r="B3" s="31" t="s">
        <v>276</v>
      </c>
      <c r="C3" s="32">
        <v>0.159</v>
      </c>
      <c r="D3" s="36">
        <v>1.1399999999999999</v>
      </c>
      <c r="E3" s="33">
        <v>58.41</v>
      </c>
      <c r="F3" s="34">
        <f>E3/1.724</f>
        <v>33.880510440835266</v>
      </c>
      <c r="G3" s="35">
        <v>30</v>
      </c>
      <c r="H3" s="36">
        <f>ROUND(F3*D3*G3*(1-C3)*0.1,2)</f>
        <v>97.45</v>
      </c>
      <c r="I3" s="114" t="s">
        <v>180</v>
      </c>
      <c r="K3" s="30"/>
    </row>
    <row r="4" spans="2:15" ht="13.35" customHeight="1">
      <c r="B4" s="31" t="s">
        <v>277</v>
      </c>
      <c r="C4" s="32">
        <v>0.1641</v>
      </c>
      <c r="D4" s="33">
        <v>1.1499999999999999</v>
      </c>
      <c r="E4" s="33">
        <v>52.13</v>
      </c>
      <c r="F4" s="34">
        <f t="shared" ref="F4:F11" si="0">E4/1.724</f>
        <v>30.237819025522043</v>
      </c>
      <c r="G4" s="35">
        <v>30</v>
      </c>
      <c r="H4" s="36">
        <f t="shared" ref="H4:H11" si="1">ROUND(F4*D4*G4*(1-C4)*0.1,2)</f>
        <v>87.2</v>
      </c>
      <c r="I4" s="115"/>
      <c r="K4" s="30"/>
    </row>
    <row r="5" spans="2:15" ht="13.35" customHeight="1">
      <c r="B5" s="31" t="s">
        <v>278</v>
      </c>
      <c r="C5" s="32">
        <v>0.15010000000000001</v>
      </c>
      <c r="D5" s="33">
        <v>1.0900000000000001</v>
      </c>
      <c r="E5" s="33">
        <v>66.31</v>
      </c>
      <c r="F5" s="34">
        <f t="shared" si="0"/>
        <v>38.462877030162417</v>
      </c>
      <c r="G5" s="35">
        <v>30</v>
      </c>
      <c r="H5" s="36">
        <f t="shared" si="1"/>
        <v>106.89</v>
      </c>
      <c r="I5" s="115"/>
      <c r="K5" s="30"/>
    </row>
    <row r="6" spans="2:15" ht="13.35" customHeight="1">
      <c r="B6" s="31" t="s">
        <v>279</v>
      </c>
      <c r="C6" s="32">
        <v>9.4600000000000004E-2</v>
      </c>
      <c r="D6" s="33">
        <v>1.1100000000000001</v>
      </c>
      <c r="E6" s="33">
        <v>61.36</v>
      </c>
      <c r="F6" s="34">
        <f t="shared" si="0"/>
        <v>35.59164733178654</v>
      </c>
      <c r="G6" s="35">
        <v>30</v>
      </c>
      <c r="H6" s="36">
        <f t="shared" si="1"/>
        <v>107.31</v>
      </c>
      <c r="I6" s="115"/>
      <c r="K6" s="30"/>
    </row>
    <row r="7" spans="2:15">
      <c r="B7" s="31" t="s">
        <v>280</v>
      </c>
      <c r="C7" s="32">
        <v>0.13789999999999999</v>
      </c>
      <c r="D7" s="33">
        <v>1.17</v>
      </c>
      <c r="E7" s="33">
        <v>56.2</v>
      </c>
      <c r="F7" s="34">
        <f t="shared" si="0"/>
        <v>32.598607888631093</v>
      </c>
      <c r="G7" s="35">
        <v>30</v>
      </c>
      <c r="H7" s="36">
        <f t="shared" si="1"/>
        <v>98.64</v>
      </c>
      <c r="I7" s="115"/>
      <c r="K7" s="30"/>
    </row>
    <row r="8" spans="2:15">
      <c r="B8" s="31" t="s">
        <v>281</v>
      </c>
      <c r="C8" s="32">
        <v>0.105</v>
      </c>
      <c r="D8" s="33">
        <v>1.1100000000000001</v>
      </c>
      <c r="E8" s="33">
        <v>53.01</v>
      </c>
      <c r="F8" s="34">
        <f t="shared" si="0"/>
        <v>30.748259860788863</v>
      </c>
      <c r="G8" s="35">
        <v>30</v>
      </c>
      <c r="H8" s="36">
        <f t="shared" si="1"/>
        <v>91.64</v>
      </c>
      <c r="I8" s="115"/>
      <c r="K8" s="30"/>
    </row>
    <row r="9" spans="2:15">
      <c r="B9" s="31" t="s">
        <v>282</v>
      </c>
      <c r="C9" s="32">
        <v>0.15920000000000001</v>
      </c>
      <c r="D9" s="33">
        <v>0.96</v>
      </c>
      <c r="E9" s="33">
        <v>51.1</v>
      </c>
      <c r="F9" s="34">
        <f t="shared" si="0"/>
        <v>29.640371229698378</v>
      </c>
      <c r="G9" s="35">
        <v>30</v>
      </c>
      <c r="H9" s="36">
        <f t="shared" si="1"/>
        <v>71.77</v>
      </c>
      <c r="I9" s="115"/>
      <c r="K9" s="30"/>
    </row>
    <row r="10" spans="2:15">
      <c r="B10" s="31" t="s">
        <v>283</v>
      </c>
      <c r="C10" s="32">
        <v>0.14219999999999999</v>
      </c>
      <c r="D10" s="33">
        <v>1.03</v>
      </c>
      <c r="E10" s="33">
        <v>49.22</v>
      </c>
      <c r="F10" s="34">
        <f t="shared" si="0"/>
        <v>28.549883990719259</v>
      </c>
      <c r="G10" s="35">
        <v>30</v>
      </c>
      <c r="H10" s="36">
        <f t="shared" si="1"/>
        <v>75.67</v>
      </c>
      <c r="I10" s="115"/>
      <c r="K10" s="30"/>
    </row>
    <row r="11" spans="2:15">
      <c r="B11" s="31" t="s">
        <v>284</v>
      </c>
      <c r="C11" s="32">
        <v>0.1431</v>
      </c>
      <c r="D11" s="33">
        <v>1.1499999999999999</v>
      </c>
      <c r="E11" s="33">
        <v>56.78</v>
      </c>
      <c r="F11" s="34">
        <f t="shared" si="0"/>
        <v>32.935034802784223</v>
      </c>
      <c r="G11" s="35">
        <v>30</v>
      </c>
      <c r="H11" s="36">
        <f t="shared" si="1"/>
        <v>97.37</v>
      </c>
      <c r="I11" s="115"/>
      <c r="K11" s="30"/>
    </row>
    <row r="12" spans="2:15" ht="13.7" customHeight="1">
      <c r="B12" s="31"/>
      <c r="C12" s="31"/>
      <c r="D12" s="109" t="s">
        <v>186</v>
      </c>
      <c r="E12" s="110"/>
      <c r="F12" s="111"/>
      <c r="G12" s="38"/>
      <c r="H12" s="39">
        <f>AVERAGE(H3:H11)</f>
        <v>92.66</v>
      </c>
      <c r="I12" s="31"/>
      <c r="K12" s="30"/>
    </row>
    <row r="13" spans="2:15" ht="13.7" customHeight="1">
      <c r="B13" s="31"/>
      <c r="C13" s="31"/>
      <c r="D13" s="109" t="s">
        <v>187</v>
      </c>
      <c r="E13" s="110"/>
      <c r="F13" s="111"/>
      <c r="G13" s="38"/>
      <c r="H13" s="39">
        <f>STDEVA(H3:H11)</f>
        <v>12.519525749803883</v>
      </c>
      <c r="I13" s="31"/>
      <c r="K13" s="30"/>
    </row>
    <row r="14" spans="2:15" ht="13.7" customHeight="1">
      <c r="B14" s="31"/>
      <c r="C14" s="31"/>
      <c r="D14" s="112" t="s">
        <v>188</v>
      </c>
      <c r="E14" s="112"/>
      <c r="F14" s="112"/>
      <c r="G14" s="41"/>
      <c r="H14" s="39">
        <f>STDEVA(H3:H11)</f>
        <v>12.519525749803883</v>
      </c>
      <c r="I14" s="31"/>
      <c r="K14" s="30"/>
    </row>
    <row r="15" spans="2:15" ht="13.7" customHeight="1">
      <c r="B15" s="31"/>
      <c r="C15" s="31"/>
      <c r="D15" s="112" t="s">
        <v>189</v>
      </c>
      <c r="E15" s="112"/>
      <c r="F15" s="112"/>
      <c r="G15" s="41"/>
      <c r="H15" s="39">
        <f>ROUND(AVERAGE(H3:H11),2)</f>
        <v>92.66</v>
      </c>
      <c r="I15" s="31"/>
    </row>
    <row r="16" spans="2:15" ht="13.7" customHeight="1">
      <c r="O16" s="40"/>
    </row>
  </sheetData>
  <mergeCells count="5">
    <mergeCell ref="I3:I11"/>
    <mergeCell ref="D12:F12"/>
    <mergeCell ref="D13:F13"/>
    <mergeCell ref="D14:F14"/>
    <mergeCell ref="D15:F15"/>
  </mergeCells>
  <phoneticPr fontId="2" type="noConversion"/>
  <pageMargins left="0.7" right="0.7" top="0.75" bottom="0.75" header="0.3" footer="0.3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F3278-BBCE-4CFC-8A8C-188BE0FEC537}">
  <dimension ref="B2:O13"/>
  <sheetViews>
    <sheetView workbookViewId="0">
      <selection activeCell="B2" sqref="B2:H8"/>
    </sheetView>
  </sheetViews>
  <sheetFormatPr defaultColWidth="8.875" defaultRowHeight="12.6"/>
  <cols>
    <col min="1" max="1" width="1.375" style="37" customWidth="1"/>
    <col min="2" max="2" width="8.875" style="37"/>
    <col min="3" max="3" width="12.375" style="37" customWidth="1"/>
    <col min="4" max="4" width="20.125" style="37" customWidth="1"/>
    <col min="5" max="5" width="11.625" style="37" customWidth="1"/>
    <col min="6" max="6" width="17.75" style="37" customWidth="1"/>
    <col min="7" max="7" width="14.25" style="37" customWidth="1"/>
    <col min="8" max="9" width="15.625" style="37" customWidth="1"/>
    <col min="10" max="10" width="10.125" style="37" customWidth="1"/>
    <col min="11" max="11" width="9.75" style="37" bestFit="1" customWidth="1"/>
    <col min="12" max="12" width="15.375" style="37" customWidth="1"/>
    <col min="13" max="13" width="17.625" style="37" customWidth="1"/>
    <col min="14" max="14" width="9" style="37" bestFit="1" customWidth="1"/>
    <col min="15" max="15" width="10" style="37" customWidth="1"/>
    <col min="16" max="16" width="8.875" style="37"/>
    <col min="17" max="17" width="13.25" style="37" customWidth="1"/>
    <col min="18" max="18" width="10.875" style="37" customWidth="1"/>
    <col min="19" max="16384" width="8.875" style="37"/>
  </cols>
  <sheetData>
    <row r="2" spans="2:15" s="30" customFormat="1" ht="27.95">
      <c r="B2" s="79" t="s">
        <v>171</v>
      </c>
      <c r="C2" s="79" t="s">
        <v>285</v>
      </c>
      <c r="D2" s="79" t="s">
        <v>286</v>
      </c>
      <c r="E2" s="79" t="s">
        <v>174</v>
      </c>
      <c r="F2" s="79" t="s">
        <v>287</v>
      </c>
      <c r="G2" s="79" t="s">
        <v>176</v>
      </c>
      <c r="H2" s="79" t="s">
        <v>288</v>
      </c>
      <c r="I2" s="77" t="s">
        <v>178</v>
      </c>
    </row>
    <row r="3" spans="2:15" ht="13.35" customHeight="1">
      <c r="B3" s="31" t="s">
        <v>289</v>
      </c>
      <c r="C3" s="32">
        <v>9.6600000000000005E-2</v>
      </c>
      <c r="D3" s="33">
        <v>1.08</v>
      </c>
      <c r="E3" s="33">
        <v>53.99</v>
      </c>
      <c r="F3" s="34">
        <f>E3/1.724</f>
        <v>31.316705336426917</v>
      </c>
      <c r="G3" s="35">
        <v>30</v>
      </c>
      <c r="H3" s="36">
        <f t="shared" ref="H3:H8" si="0">ROUND(F3*D3*G3*(1-C3)*0.1,2)</f>
        <v>91.66</v>
      </c>
      <c r="I3" s="114" t="s">
        <v>180</v>
      </c>
      <c r="K3" s="30"/>
    </row>
    <row r="4" spans="2:15">
      <c r="B4" s="31" t="s">
        <v>290</v>
      </c>
      <c r="C4" s="32">
        <v>0.14860000000000001</v>
      </c>
      <c r="D4" s="33">
        <v>1.1299999999999999</v>
      </c>
      <c r="E4" s="33">
        <v>51.49</v>
      </c>
      <c r="F4" s="34">
        <f t="shared" ref="F4:F8" si="1">E4/1.724</f>
        <v>29.866589327146173</v>
      </c>
      <c r="G4" s="35">
        <v>30</v>
      </c>
      <c r="H4" s="36">
        <f t="shared" si="0"/>
        <v>86.2</v>
      </c>
      <c r="I4" s="115"/>
      <c r="K4" s="30"/>
    </row>
    <row r="5" spans="2:15">
      <c r="B5" s="31" t="s">
        <v>291</v>
      </c>
      <c r="C5" s="32">
        <v>0.14990000000000001</v>
      </c>
      <c r="D5" s="33">
        <v>1.1499999999999999</v>
      </c>
      <c r="E5" s="33">
        <v>67.27</v>
      </c>
      <c r="F5" s="34">
        <f t="shared" si="1"/>
        <v>39.019721577726216</v>
      </c>
      <c r="G5" s="35">
        <v>30</v>
      </c>
      <c r="H5" s="36">
        <f t="shared" si="0"/>
        <v>114.44</v>
      </c>
      <c r="I5" s="115"/>
      <c r="K5" s="30"/>
    </row>
    <row r="6" spans="2:15">
      <c r="B6" s="31" t="s">
        <v>292</v>
      </c>
      <c r="C6" s="32">
        <v>0.16309999999999999</v>
      </c>
      <c r="D6" s="33">
        <v>0.86</v>
      </c>
      <c r="E6" s="33">
        <v>63.01</v>
      </c>
      <c r="F6" s="34">
        <f t="shared" si="1"/>
        <v>36.548723897911835</v>
      </c>
      <c r="G6" s="35">
        <v>30</v>
      </c>
      <c r="H6" s="36">
        <f t="shared" si="0"/>
        <v>78.92</v>
      </c>
      <c r="I6" s="115"/>
      <c r="K6" s="30"/>
    </row>
    <row r="7" spans="2:15">
      <c r="B7" s="31" t="s">
        <v>293</v>
      </c>
      <c r="C7" s="32">
        <v>8.4400000000000003E-2</v>
      </c>
      <c r="D7" s="33">
        <v>1.0900000000000001</v>
      </c>
      <c r="E7" s="33">
        <v>59.2</v>
      </c>
      <c r="F7" s="34">
        <f t="shared" si="1"/>
        <v>34.338747099767986</v>
      </c>
      <c r="G7" s="35">
        <v>30</v>
      </c>
      <c r="H7" s="36">
        <f t="shared" si="0"/>
        <v>102.81</v>
      </c>
      <c r="I7" s="115"/>
      <c r="K7" s="30"/>
    </row>
    <row r="8" spans="2:15">
      <c r="B8" s="31" t="s">
        <v>294</v>
      </c>
      <c r="C8" s="32">
        <v>0.1004</v>
      </c>
      <c r="D8" s="33">
        <v>0.85</v>
      </c>
      <c r="E8" s="33">
        <v>48.32</v>
      </c>
      <c r="F8" s="34">
        <f t="shared" si="1"/>
        <v>28.027842227378191</v>
      </c>
      <c r="G8" s="35">
        <v>30</v>
      </c>
      <c r="H8" s="36">
        <f t="shared" si="0"/>
        <v>64.3</v>
      </c>
      <c r="I8" s="115"/>
      <c r="K8" s="30"/>
    </row>
    <row r="9" spans="2:15" ht="13.7" customHeight="1">
      <c r="B9" s="31"/>
      <c r="C9" s="31"/>
      <c r="D9" s="109" t="s">
        <v>186</v>
      </c>
      <c r="E9" s="110"/>
      <c r="F9" s="111"/>
      <c r="G9" s="38"/>
      <c r="H9" s="39">
        <f>AVERAGE(H3:H8)</f>
        <v>89.721666666666678</v>
      </c>
      <c r="I9" s="31"/>
      <c r="K9" s="30"/>
    </row>
    <row r="10" spans="2:15" ht="13.7" customHeight="1">
      <c r="B10" s="31"/>
      <c r="C10" s="31"/>
      <c r="D10" s="109" t="s">
        <v>187</v>
      </c>
      <c r="E10" s="110"/>
      <c r="F10" s="111"/>
      <c r="G10" s="38"/>
      <c r="H10" s="39">
        <f>STDEVA(H3:H8)</f>
        <v>17.671428257689417</v>
      </c>
      <c r="I10" s="31"/>
      <c r="K10" s="30"/>
    </row>
    <row r="11" spans="2:15" ht="13.7" customHeight="1">
      <c r="B11" s="31"/>
      <c r="C11" s="31"/>
      <c r="D11" s="112" t="s">
        <v>188</v>
      </c>
      <c r="E11" s="112"/>
      <c r="F11" s="112"/>
      <c r="G11" s="41"/>
      <c r="H11" s="39">
        <f>STDEVA(H3:H8)</f>
        <v>17.671428257689417</v>
      </c>
      <c r="I11" s="31"/>
      <c r="K11" s="30"/>
    </row>
    <row r="12" spans="2:15" ht="13.7" customHeight="1">
      <c r="B12" s="31"/>
      <c r="C12" s="31"/>
      <c r="D12" s="112" t="s">
        <v>189</v>
      </c>
      <c r="E12" s="112"/>
      <c r="F12" s="112"/>
      <c r="G12" s="41"/>
      <c r="H12" s="39">
        <f>ROUND(AVERAGE(H3:H8),2)</f>
        <v>89.72</v>
      </c>
      <c r="I12" s="31"/>
    </row>
    <row r="13" spans="2:15" ht="13.7" customHeight="1">
      <c r="O13" s="40"/>
    </row>
  </sheetData>
  <mergeCells count="5">
    <mergeCell ref="I3:I8"/>
    <mergeCell ref="D9:F9"/>
    <mergeCell ref="D10:F10"/>
    <mergeCell ref="D11:F11"/>
    <mergeCell ref="D12:F12"/>
  </mergeCells>
  <phoneticPr fontId="2" type="noConversion"/>
  <pageMargins left="0.7" right="0.7" top="0.75" bottom="0.75" header="0.3" footer="0.3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CE881-A5AA-4CD8-941C-517D78A6DD6E}">
  <dimension ref="B2:O16"/>
  <sheetViews>
    <sheetView workbookViewId="0">
      <selection activeCell="B2" sqref="B2:H11"/>
    </sheetView>
  </sheetViews>
  <sheetFormatPr defaultColWidth="8.875" defaultRowHeight="12.6"/>
  <cols>
    <col min="1" max="1" width="1.375" style="37" customWidth="1"/>
    <col min="2" max="2" width="8.875" style="37"/>
    <col min="3" max="3" width="12.375" style="37" customWidth="1"/>
    <col min="4" max="4" width="20.125" style="37" customWidth="1"/>
    <col min="5" max="5" width="11.625" style="37" customWidth="1"/>
    <col min="6" max="6" width="17.75" style="37" customWidth="1"/>
    <col min="7" max="7" width="14.25" style="37" customWidth="1"/>
    <col min="8" max="9" width="15.625" style="37" customWidth="1"/>
    <col min="10" max="10" width="10.125" style="37" customWidth="1"/>
    <col min="11" max="11" width="9.75" style="37" bestFit="1" customWidth="1"/>
    <col min="12" max="12" width="15.375" style="37" customWidth="1"/>
    <col min="13" max="13" width="17.625" style="37" customWidth="1"/>
    <col min="14" max="14" width="9" style="37" bestFit="1" customWidth="1"/>
    <col min="15" max="15" width="10" style="37" customWidth="1"/>
    <col min="16" max="16" width="8.875" style="37"/>
    <col min="17" max="17" width="13.25" style="37" customWidth="1"/>
    <col min="18" max="18" width="10.875" style="37" customWidth="1"/>
    <col min="19" max="16384" width="8.875" style="37"/>
  </cols>
  <sheetData>
    <row r="2" spans="2:15" s="30" customFormat="1" ht="27.95">
      <c r="B2" s="79" t="s">
        <v>171</v>
      </c>
      <c r="C2" s="79" t="s">
        <v>295</v>
      </c>
      <c r="D2" s="79" t="s">
        <v>296</v>
      </c>
      <c r="E2" s="79" t="s">
        <v>174</v>
      </c>
      <c r="F2" s="79" t="s">
        <v>297</v>
      </c>
      <c r="G2" s="79" t="s">
        <v>176</v>
      </c>
      <c r="H2" s="79" t="s">
        <v>298</v>
      </c>
      <c r="I2" s="77" t="s">
        <v>178</v>
      </c>
    </row>
    <row r="3" spans="2:15" ht="13.35" customHeight="1">
      <c r="B3" s="31" t="s">
        <v>299</v>
      </c>
      <c r="C3" s="32">
        <v>0.16400000000000001</v>
      </c>
      <c r="D3" s="36">
        <v>0.93</v>
      </c>
      <c r="E3" s="33">
        <v>30.71</v>
      </c>
      <c r="F3" s="34">
        <f>E3/1.724</f>
        <v>17.81322505800464</v>
      </c>
      <c r="G3" s="35">
        <v>30</v>
      </c>
      <c r="H3" s="36">
        <f>ROUND(F3*D3*G3*(1-C3)*0.1,2)</f>
        <v>41.55</v>
      </c>
      <c r="I3" s="114" t="s">
        <v>180</v>
      </c>
      <c r="K3" s="30"/>
    </row>
    <row r="4" spans="2:15" ht="13.35" customHeight="1">
      <c r="B4" s="31" t="s">
        <v>300</v>
      </c>
      <c r="C4" s="32">
        <v>0.15970000000000001</v>
      </c>
      <c r="D4" s="33">
        <v>1.1499999999999999</v>
      </c>
      <c r="E4" s="33">
        <v>70.77</v>
      </c>
      <c r="F4" s="34">
        <f t="shared" ref="F4:F11" si="0">E4/1.724</f>
        <v>41.049883990719259</v>
      </c>
      <c r="G4" s="35">
        <v>30</v>
      </c>
      <c r="H4" s="36">
        <f t="shared" ref="H4:H11" si="1">ROUND(F4*D4*G4*(1-C4)*0.1,2)</f>
        <v>119.01</v>
      </c>
      <c r="I4" s="115"/>
      <c r="K4" s="30"/>
    </row>
    <row r="5" spans="2:15" ht="13.35" customHeight="1">
      <c r="B5" s="31" t="s">
        <v>301</v>
      </c>
      <c r="C5" s="32">
        <v>0.14610000000000001</v>
      </c>
      <c r="D5" s="33">
        <v>1.1299999999999999</v>
      </c>
      <c r="E5" s="33">
        <v>64.569999999999993</v>
      </c>
      <c r="F5" s="34">
        <f t="shared" si="0"/>
        <v>37.453596287703014</v>
      </c>
      <c r="G5" s="35">
        <v>30</v>
      </c>
      <c r="H5" s="36">
        <f t="shared" si="1"/>
        <v>108.42</v>
      </c>
      <c r="I5" s="115"/>
      <c r="K5" s="30"/>
    </row>
    <row r="6" spans="2:15" ht="13.35" customHeight="1">
      <c r="B6" s="31" t="s">
        <v>302</v>
      </c>
      <c r="C6" s="32">
        <v>0.15310000000000001</v>
      </c>
      <c r="D6" s="33">
        <v>1.1200000000000001</v>
      </c>
      <c r="E6" s="33">
        <v>48.12</v>
      </c>
      <c r="F6" s="34">
        <f t="shared" si="0"/>
        <v>27.91183294663573</v>
      </c>
      <c r="G6" s="35">
        <v>30</v>
      </c>
      <c r="H6" s="36">
        <f t="shared" si="1"/>
        <v>79.430000000000007</v>
      </c>
      <c r="I6" s="115"/>
      <c r="K6" s="30"/>
    </row>
    <row r="7" spans="2:15">
      <c r="B7" s="31" t="s">
        <v>303</v>
      </c>
      <c r="C7" s="32">
        <v>0.16159999999999999</v>
      </c>
      <c r="D7" s="33">
        <v>0.99</v>
      </c>
      <c r="E7" s="33">
        <v>62.79</v>
      </c>
      <c r="F7" s="34">
        <f t="shared" si="0"/>
        <v>36.421113689095129</v>
      </c>
      <c r="G7" s="35">
        <v>30</v>
      </c>
      <c r="H7" s="36">
        <f t="shared" si="1"/>
        <v>90.69</v>
      </c>
      <c r="I7" s="115"/>
      <c r="K7" s="30"/>
    </row>
    <row r="8" spans="2:15">
      <c r="B8" s="31" t="s">
        <v>304</v>
      </c>
      <c r="C8" s="32">
        <v>0.1661</v>
      </c>
      <c r="D8" s="33">
        <v>0.98</v>
      </c>
      <c r="E8" s="33">
        <v>58.43</v>
      </c>
      <c r="F8" s="34">
        <f t="shared" si="0"/>
        <v>33.892111368909511</v>
      </c>
      <c r="G8" s="35">
        <v>30</v>
      </c>
      <c r="H8" s="36">
        <f t="shared" si="1"/>
        <v>83.09</v>
      </c>
      <c r="I8" s="115"/>
      <c r="K8" s="30"/>
    </row>
    <row r="9" spans="2:15">
      <c r="B9" s="31" t="s">
        <v>305</v>
      </c>
      <c r="C9" s="32">
        <v>0.1464</v>
      </c>
      <c r="D9" s="33">
        <v>0.94</v>
      </c>
      <c r="E9" s="33">
        <v>58.27</v>
      </c>
      <c r="F9" s="34">
        <f t="shared" si="0"/>
        <v>33.799303944315547</v>
      </c>
      <c r="G9" s="35">
        <v>30</v>
      </c>
      <c r="H9" s="36">
        <f t="shared" si="1"/>
        <v>81.36</v>
      </c>
      <c r="I9" s="115"/>
      <c r="K9" s="30"/>
    </row>
    <row r="10" spans="2:15">
      <c r="B10" s="31" t="s">
        <v>306</v>
      </c>
      <c r="C10" s="32">
        <v>0.15709999999999999</v>
      </c>
      <c r="D10" s="33">
        <v>1.1499999999999999</v>
      </c>
      <c r="E10" s="33">
        <v>40.799999999999997</v>
      </c>
      <c r="F10" s="34">
        <f t="shared" si="0"/>
        <v>23.665893271461716</v>
      </c>
      <c r="G10" s="35">
        <v>30</v>
      </c>
      <c r="H10" s="36">
        <f t="shared" si="1"/>
        <v>68.819999999999993</v>
      </c>
      <c r="I10" s="115"/>
      <c r="K10" s="30"/>
    </row>
    <row r="11" spans="2:15">
      <c r="B11" s="31" t="s">
        <v>307</v>
      </c>
      <c r="C11" s="32">
        <v>0.14199999999999999</v>
      </c>
      <c r="D11" s="33">
        <v>0.86</v>
      </c>
      <c r="E11" s="33">
        <v>44.39</v>
      </c>
      <c r="F11" s="34">
        <f t="shared" si="0"/>
        <v>25.748259860788863</v>
      </c>
      <c r="G11" s="35">
        <v>30</v>
      </c>
      <c r="H11" s="36">
        <f t="shared" si="1"/>
        <v>57</v>
      </c>
      <c r="I11" s="115"/>
      <c r="K11" s="30"/>
    </row>
    <row r="12" spans="2:15" ht="13.7" customHeight="1">
      <c r="B12" s="31"/>
      <c r="C12" s="31"/>
      <c r="D12" s="109" t="s">
        <v>186</v>
      </c>
      <c r="E12" s="110"/>
      <c r="F12" s="111"/>
      <c r="G12" s="38"/>
      <c r="H12" s="39">
        <f>AVERAGE(H3:H11)</f>
        <v>81.041111111111121</v>
      </c>
      <c r="I12" s="31"/>
      <c r="K12" s="30"/>
    </row>
    <row r="13" spans="2:15" ht="13.7" customHeight="1">
      <c r="B13" s="31"/>
      <c r="C13" s="31"/>
      <c r="D13" s="109" t="s">
        <v>187</v>
      </c>
      <c r="E13" s="110"/>
      <c r="F13" s="111"/>
      <c r="G13" s="38"/>
      <c r="H13" s="39">
        <f>STDEVA(H3:H11)</f>
        <v>23.922047594449538</v>
      </c>
      <c r="I13" s="31"/>
      <c r="K13" s="30"/>
    </row>
    <row r="14" spans="2:15" ht="13.7" customHeight="1">
      <c r="B14" s="31"/>
      <c r="C14" s="31"/>
      <c r="D14" s="112" t="s">
        <v>188</v>
      </c>
      <c r="E14" s="112"/>
      <c r="F14" s="112"/>
      <c r="G14" s="41"/>
      <c r="H14" s="39">
        <f>STDEVA(H3:H11)</f>
        <v>23.922047594449538</v>
      </c>
      <c r="I14" s="31"/>
      <c r="K14" s="30"/>
    </row>
    <row r="15" spans="2:15" ht="13.7" customHeight="1">
      <c r="B15" s="31"/>
      <c r="C15" s="31"/>
      <c r="D15" s="112" t="s">
        <v>189</v>
      </c>
      <c r="E15" s="112"/>
      <c r="F15" s="112"/>
      <c r="G15" s="41"/>
      <c r="H15" s="39">
        <f>ROUND(AVERAGE(H3:H11),2)</f>
        <v>81.040000000000006</v>
      </c>
      <c r="I15" s="31"/>
    </row>
    <row r="16" spans="2:15" ht="13.7" customHeight="1">
      <c r="O16" s="40"/>
    </row>
  </sheetData>
  <mergeCells count="5">
    <mergeCell ref="I3:I11"/>
    <mergeCell ref="D12:F12"/>
    <mergeCell ref="D13:F13"/>
    <mergeCell ref="D14:F14"/>
    <mergeCell ref="D15:F15"/>
  </mergeCells>
  <phoneticPr fontId="2" type="noConversion"/>
  <pageMargins left="0.7" right="0.7" top="0.75" bottom="0.75" header="0.3" footer="0.3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AA137-1782-488E-A019-4199917E7815}">
  <dimension ref="B2:O13"/>
  <sheetViews>
    <sheetView workbookViewId="0">
      <selection activeCell="B2" sqref="B2:H8"/>
    </sheetView>
  </sheetViews>
  <sheetFormatPr defaultColWidth="8.875" defaultRowHeight="12.6"/>
  <cols>
    <col min="1" max="1" width="1.375" style="37" customWidth="1"/>
    <col min="2" max="2" width="8.875" style="37"/>
    <col min="3" max="3" width="12.375" style="37" customWidth="1"/>
    <col min="4" max="4" width="20.125" style="37" customWidth="1"/>
    <col min="5" max="5" width="11.625" style="37" customWidth="1"/>
    <col min="6" max="6" width="17.75" style="37" customWidth="1"/>
    <col min="7" max="7" width="14.25" style="37" customWidth="1"/>
    <col min="8" max="9" width="15.625" style="37" customWidth="1"/>
    <col min="10" max="10" width="10.125" style="37" customWidth="1"/>
    <col min="11" max="11" width="9.75" style="37" bestFit="1" customWidth="1"/>
    <col min="12" max="12" width="15.375" style="37" customWidth="1"/>
    <col min="13" max="13" width="17.625" style="37" customWidth="1"/>
    <col min="14" max="14" width="9" style="37" bestFit="1" customWidth="1"/>
    <col min="15" max="15" width="10" style="37" customWidth="1"/>
    <col min="16" max="16" width="8.875" style="37"/>
    <col min="17" max="17" width="13.25" style="37" customWidth="1"/>
    <col min="18" max="18" width="10.875" style="37" customWidth="1"/>
    <col min="19" max="16384" width="8.875" style="37"/>
  </cols>
  <sheetData>
    <row r="2" spans="2:15" s="30" customFormat="1" ht="27.95">
      <c r="B2" s="79" t="s">
        <v>171</v>
      </c>
      <c r="C2" s="79" t="s">
        <v>308</v>
      </c>
      <c r="D2" s="79" t="s">
        <v>309</v>
      </c>
      <c r="E2" s="79" t="s">
        <v>174</v>
      </c>
      <c r="F2" s="79" t="s">
        <v>310</v>
      </c>
      <c r="G2" s="79" t="s">
        <v>176</v>
      </c>
      <c r="H2" s="79" t="s">
        <v>311</v>
      </c>
      <c r="I2" s="77" t="s">
        <v>178</v>
      </c>
    </row>
    <row r="3" spans="2:15" ht="13.35" customHeight="1">
      <c r="B3" s="31" t="s">
        <v>312</v>
      </c>
      <c r="C3" s="32">
        <v>0.15010000000000001</v>
      </c>
      <c r="D3" s="33">
        <v>1.08</v>
      </c>
      <c r="E3" s="33">
        <v>49.32</v>
      </c>
      <c r="F3" s="34">
        <f>E3/1.724</f>
        <v>28.607888631090489</v>
      </c>
      <c r="G3" s="35">
        <v>30</v>
      </c>
      <c r="H3" s="36">
        <f>ROUND(F3*D3*G3*(1-C3)*0.1,2)</f>
        <v>78.78</v>
      </c>
      <c r="I3" s="114" t="s">
        <v>180</v>
      </c>
      <c r="K3" s="30"/>
    </row>
    <row r="4" spans="2:15">
      <c r="B4" s="31" t="s">
        <v>313</v>
      </c>
      <c r="C4" s="32">
        <v>0.1661</v>
      </c>
      <c r="D4" s="33">
        <v>1</v>
      </c>
      <c r="E4" s="33">
        <v>41.6</v>
      </c>
      <c r="F4" s="34">
        <f t="shared" ref="F4:F8" si="0">E4/1.724</f>
        <v>24.129930394431554</v>
      </c>
      <c r="G4" s="35">
        <v>30</v>
      </c>
      <c r="H4" s="36">
        <f t="shared" ref="H4:H8" si="1">ROUND(F4*D4*G4*(1-C4)*0.1,2)</f>
        <v>60.37</v>
      </c>
      <c r="I4" s="115"/>
      <c r="K4" s="30"/>
    </row>
    <row r="5" spans="2:15">
      <c r="B5" s="31" t="s">
        <v>314</v>
      </c>
      <c r="C5" s="32">
        <v>0.2452</v>
      </c>
      <c r="D5" s="33">
        <v>1.01</v>
      </c>
      <c r="E5" s="33">
        <v>16.18</v>
      </c>
      <c r="F5" s="34">
        <f t="shared" si="0"/>
        <v>9.3851508120649658</v>
      </c>
      <c r="G5" s="35">
        <v>30</v>
      </c>
      <c r="H5" s="36">
        <f t="shared" si="1"/>
        <v>21.46</v>
      </c>
      <c r="I5" s="115"/>
      <c r="K5" s="30"/>
    </row>
    <row r="6" spans="2:15">
      <c r="B6" s="31" t="s">
        <v>315</v>
      </c>
      <c r="C6" s="32">
        <v>0.1759</v>
      </c>
      <c r="D6" s="33">
        <v>0.98</v>
      </c>
      <c r="E6" s="33">
        <v>39.06</v>
      </c>
      <c r="F6" s="34">
        <f t="shared" si="0"/>
        <v>22.65661252900232</v>
      </c>
      <c r="G6" s="35">
        <v>30</v>
      </c>
      <c r="H6" s="36">
        <f t="shared" si="1"/>
        <v>54.89</v>
      </c>
      <c r="I6" s="115"/>
      <c r="K6" s="30"/>
    </row>
    <row r="7" spans="2:15">
      <c r="B7" s="31" t="s">
        <v>316</v>
      </c>
      <c r="C7" s="32">
        <v>0.1066</v>
      </c>
      <c r="D7" s="33">
        <v>0.91</v>
      </c>
      <c r="E7" s="33">
        <v>31.69</v>
      </c>
      <c r="F7" s="34">
        <f t="shared" si="0"/>
        <v>18.381670533642691</v>
      </c>
      <c r="G7" s="35">
        <v>30</v>
      </c>
      <c r="H7" s="36">
        <f t="shared" si="1"/>
        <v>44.83</v>
      </c>
      <c r="I7" s="115"/>
      <c r="K7" s="30"/>
    </row>
    <row r="8" spans="2:15">
      <c r="B8" s="31" t="s">
        <v>317</v>
      </c>
      <c r="C8" s="32">
        <v>0.15809999999999999</v>
      </c>
      <c r="D8" s="33">
        <v>0.92</v>
      </c>
      <c r="E8" s="33">
        <v>55.87</v>
      </c>
      <c r="F8" s="34">
        <f t="shared" si="0"/>
        <v>32.407192575406029</v>
      </c>
      <c r="G8" s="35">
        <v>30</v>
      </c>
      <c r="H8" s="36">
        <f t="shared" si="1"/>
        <v>75.3</v>
      </c>
      <c r="I8" s="115"/>
      <c r="K8" s="30"/>
    </row>
    <row r="9" spans="2:15" ht="13.7" customHeight="1">
      <c r="B9" s="31"/>
      <c r="C9" s="31"/>
      <c r="D9" s="109" t="s">
        <v>186</v>
      </c>
      <c r="E9" s="110"/>
      <c r="F9" s="111"/>
      <c r="G9" s="38"/>
      <c r="H9" s="39">
        <f>AVERAGE(H3:H8)</f>
        <v>55.938333333333333</v>
      </c>
      <c r="I9" s="31"/>
      <c r="K9" s="30"/>
    </row>
    <row r="10" spans="2:15" ht="13.7" customHeight="1">
      <c r="B10" s="31"/>
      <c r="C10" s="31"/>
      <c r="D10" s="109" t="s">
        <v>187</v>
      </c>
      <c r="E10" s="110"/>
      <c r="F10" s="111"/>
      <c r="G10" s="38"/>
      <c r="H10" s="39">
        <f>STDEVA(H3:H8)</f>
        <v>21.116368453563855</v>
      </c>
      <c r="I10" s="31"/>
      <c r="K10" s="30"/>
    </row>
    <row r="11" spans="2:15" ht="13.7" customHeight="1">
      <c r="B11" s="31"/>
      <c r="C11" s="31"/>
      <c r="D11" s="112" t="s">
        <v>188</v>
      </c>
      <c r="E11" s="112"/>
      <c r="F11" s="112"/>
      <c r="G11" s="41"/>
      <c r="H11" s="39">
        <f>STDEVA(H3:H8)</f>
        <v>21.116368453563855</v>
      </c>
      <c r="I11" s="31"/>
      <c r="K11" s="30"/>
    </row>
    <row r="12" spans="2:15" ht="13.7" customHeight="1">
      <c r="B12" s="31"/>
      <c r="C12" s="31"/>
      <c r="D12" s="112" t="s">
        <v>189</v>
      </c>
      <c r="E12" s="112"/>
      <c r="F12" s="112"/>
      <c r="G12" s="41"/>
      <c r="H12" s="39">
        <f>ROUND(AVERAGE(H3:H8),2)</f>
        <v>55.94</v>
      </c>
      <c r="I12" s="31"/>
    </row>
    <row r="13" spans="2:15" ht="13.7" customHeight="1">
      <c r="O13" s="40"/>
    </row>
  </sheetData>
  <mergeCells count="5">
    <mergeCell ref="I3:I8"/>
    <mergeCell ref="D9:F9"/>
    <mergeCell ref="D10:F10"/>
    <mergeCell ref="D11:F11"/>
    <mergeCell ref="D12:F12"/>
  </mergeCells>
  <phoneticPr fontId="2" type="noConversion"/>
  <pageMargins left="0.7" right="0.7" top="0.75" bottom="0.75" header="0.3" footer="0.3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BFF0C-9764-4212-B948-95F6D329B784}">
  <dimension ref="B2:O13"/>
  <sheetViews>
    <sheetView workbookViewId="0">
      <selection activeCell="G18" sqref="G18"/>
    </sheetView>
  </sheetViews>
  <sheetFormatPr defaultColWidth="8.875" defaultRowHeight="12.6"/>
  <cols>
    <col min="1" max="1" width="1.375" style="37" customWidth="1"/>
    <col min="2" max="2" width="8.875" style="37"/>
    <col min="3" max="3" width="12.375" style="37" customWidth="1"/>
    <col min="4" max="4" width="20.125" style="37" customWidth="1"/>
    <col min="5" max="5" width="11.625" style="37" customWidth="1"/>
    <col min="6" max="6" width="17.75" style="37" customWidth="1"/>
    <col min="7" max="7" width="14.25" style="37" customWidth="1"/>
    <col min="8" max="9" width="15.625" style="37" customWidth="1"/>
    <col min="10" max="10" width="10.125" style="37" customWidth="1"/>
    <col min="11" max="11" width="9.75" style="37" bestFit="1" customWidth="1"/>
    <col min="12" max="12" width="15.375" style="37" customWidth="1"/>
    <col min="13" max="13" width="17.625" style="37" customWidth="1"/>
    <col min="14" max="14" width="9" style="37" bestFit="1" customWidth="1"/>
    <col min="15" max="15" width="10" style="37" customWidth="1"/>
    <col min="16" max="16" width="8.875" style="37"/>
    <col min="17" max="17" width="13.25" style="37" customWidth="1"/>
    <col min="18" max="18" width="10.875" style="37" customWidth="1"/>
    <col min="19" max="16384" width="8.875" style="37"/>
  </cols>
  <sheetData>
    <row r="2" spans="2:15" s="30" customFormat="1" ht="27.95">
      <c r="B2" s="79" t="s">
        <v>171</v>
      </c>
      <c r="C2" s="79" t="s">
        <v>318</v>
      </c>
      <c r="D2" s="79" t="s">
        <v>319</v>
      </c>
      <c r="E2" s="79" t="s">
        <v>174</v>
      </c>
      <c r="F2" s="79" t="s">
        <v>320</v>
      </c>
      <c r="G2" s="79" t="s">
        <v>176</v>
      </c>
      <c r="H2" s="79" t="s">
        <v>321</v>
      </c>
      <c r="I2" s="77" t="s">
        <v>178</v>
      </c>
    </row>
    <row r="3" spans="2:15" ht="13.35" customHeight="1">
      <c r="B3" s="31" t="s">
        <v>322</v>
      </c>
      <c r="C3" s="32">
        <v>0.1454</v>
      </c>
      <c r="D3" s="33">
        <v>1.21</v>
      </c>
      <c r="E3" s="33">
        <v>54.9</v>
      </c>
      <c r="F3" s="34">
        <f>E3/1.724</f>
        <v>31.844547563805104</v>
      </c>
      <c r="G3" s="35">
        <v>30</v>
      </c>
      <c r="H3" s="36">
        <f>ROUND(F3*D3*G3*(1-C3)*0.1,2)</f>
        <v>98.79</v>
      </c>
      <c r="I3" s="114" t="s">
        <v>180</v>
      </c>
      <c r="K3" s="30"/>
    </row>
    <row r="4" spans="2:15">
      <c r="B4" s="31" t="s">
        <v>323</v>
      </c>
      <c r="C4" s="32">
        <v>0.16020000000000001</v>
      </c>
      <c r="D4" s="33">
        <v>0.81</v>
      </c>
      <c r="E4" s="33">
        <v>41.29</v>
      </c>
      <c r="F4" s="34">
        <f t="shared" ref="F4:F8" si="0">E4/1.724</f>
        <v>23.950116009280741</v>
      </c>
      <c r="G4" s="35">
        <v>30</v>
      </c>
      <c r="H4" s="36">
        <f t="shared" ref="H4:H8" si="1">ROUND(F4*D4*G4*(1-C4)*0.1,2)</f>
        <v>48.88</v>
      </c>
      <c r="I4" s="115"/>
      <c r="K4" s="30"/>
    </row>
    <row r="5" spans="2:15">
      <c r="B5" s="31" t="s">
        <v>324</v>
      </c>
      <c r="C5" s="32">
        <v>0.10639999999999999</v>
      </c>
      <c r="D5" s="33">
        <v>0.99</v>
      </c>
      <c r="E5" s="33">
        <v>52.86</v>
      </c>
      <c r="F5" s="34">
        <f t="shared" si="0"/>
        <v>30.661252900232018</v>
      </c>
      <c r="G5" s="35">
        <v>30</v>
      </c>
      <c r="H5" s="36">
        <f t="shared" si="1"/>
        <v>81.37</v>
      </c>
      <c r="I5" s="115"/>
      <c r="K5" s="30"/>
    </row>
    <row r="6" spans="2:15">
      <c r="B6" s="31" t="s">
        <v>325</v>
      </c>
      <c r="C6" s="32">
        <v>0.14660000000000001</v>
      </c>
      <c r="D6" s="33">
        <v>0.98</v>
      </c>
      <c r="E6" s="33">
        <v>68.709999999999994</v>
      </c>
      <c r="F6" s="34">
        <f t="shared" si="0"/>
        <v>39.854988399071921</v>
      </c>
      <c r="G6" s="35">
        <v>30</v>
      </c>
      <c r="H6" s="36">
        <f t="shared" si="1"/>
        <v>100</v>
      </c>
      <c r="I6" s="115"/>
      <c r="K6" s="30"/>
    </row>
    <row r="7" spans="2:15">
      <c r="B7" s="31" t="s">
        <v>326</v>
      </c>
      <c r="C7" s="32">
        <v>0.1376</v>
      </c>
      <c r="D7" s="33">
        <v>0.96</v>
      </c>
      <c r="E7" s="33">
        <v>59.35</v>
      </c>
      <c r="F7" s="34">
        <f t="shared" si="0"/>
        <v>34.425754060324827</v>
      </c>
      <c r="G7" s="35">
        <v>30</v>
      </c>
      <c r="H7" s="36">
        <f t="shared" si="1"/>
        <v>85.5</v>
      </c>
      <c r="I7" s="115"/>
      <c r="K7" s="30"/>
    </row>
    <row r="8" spans="2:15">
      <c r="B8" s="31" t="s">
        <v>327</v>
      </c>
      <c r="C8" s="32">
        <v>7.5200000000000003E-2</v>
      </c>
      <c r="D8" s="33">
        <v>0.8</v>
      </c>
      <c r="E8" s="33">
        <v>48.75</v>
      </c>
      <c r="F8" s="34">
        <f t="shared" si="0"/>
        <v>28.277262180974478</v>
      </c>
      <c r="G8" s="35">
        <v>30</v>
      </c>
      <c r="H8" s="36">
        <f t="shared" si="1"/>
        <v>62.76</v>
      </c>
      <c r="I8" s="115"/>
      <c r="K8" s="30"/>
    </row>
    <row r="9" spans="2:15" ht="13.7" customHeight="1">
      <c r="B9" s="31"/>
      <c r="C9" s="31"/>
      <c r="D9" s="109" t="s">
        <v>186</v>
      </c>
      <c r="E9" s="110"/>
      <c r="F9" s="111"/>
      <c r="G9" s="38"/>
      <c r="H9" s="39">
        <f>AVERAGE(H3:H8)</f>
        <v>79.55</v>
      </c>
      <c r="I9" s="31"/>
      <c r="K9" s="30"/>
    </row>
    <row r="10" spans="2:15" ht="13.7" customHeight="1">
      <c r="B10" s="31"/>
      <c r="C10" s="31"/>
      <c r="D10" s="109" t="s">
        <v>187</v>
      </c>
      <c r="E10" s="110"/>
      <c r="F10" s="111"/>
      <c r="G10" s="38"/>
      <c r="H10" s="39">
        <f>STDEVA(H3:H8)</f>
        <v>20.246718252595905</v>
      </c>
      <c r="I10" s="31"/>
      <c r="K10" s="30"/>
    </row>
    <row r="11" spans="2:15" ht="13.7" customHeight="1">
      <c r="B11" s="31"/>
      <c r="C11" s="31"/>
      <c r="D11" s="112" t="s">
        <v>188</v>
      </c>
      <c r="E11" s="112"/>
      <c r="F11" s="112"/>
      <c r="G11" s="41"/>
      <c r="H11" s="39">
        <f>STDEVA(H3:H8)</f>
        <v>20.246718252595905</v>
      </c>
      <c r="I11" s="31"/>
      <c r="K11" s="30"/>
    </row>
    <row r="12" spans="2:15" ht="13.7" customHeight="1">
      <c r="B12" s="31"/>
      <c r="C12" s="31"/>
      <c r="D12" s="112" t="s">
        <v>189</v>
      </c>
      <c r="E12" s="112"/>
      <c r="F12" s="112"/>
      <c r="G12" s="41"/>
      <c r="H12" s="39">
        <f>ROUND(AVERAGE(H3:H8),2)</f>
        <v>79.55</v>
      </c>
      <c r="I12" s="31"/>
    </row>
    <row r="13" spans="2:15" ht="13.7" customHeight="1">
      <c r="O13" s="40"/>
    </row>
  </sheetData>
  <mergeCells count="5">
    <mergeCell ref="I3:I8"/>
    <mergeCell ref="D9:F9"/>
    <mergeCell ref="D10:F10"/>
    <mergeCell ref="D11:F11"/>
    <mergeCell ref="D12:F12"/>
  </mergeCells>
  <phoneticPr fontId="2" type="noConversion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66137-69D9-44C3-A24D-571E6449F968}">
  <dimension ref="A2:M71"/>
  <sheetViews>
    <sheetView zoomScaleNormal="100" workbookViewId="0">
      <selection activeCell="F3" sqref="F3"/>
    </sheetView>
  </sheetViews>
  <sheetFormatPr defaultColWidth="8.875" defaultRowHeight="12.6"/>
  <cols>
    <col min="1" max="1" width="2.875" style="2" customWidth="1"/>
    <col min="2" max="2" width="10.125" style="2" customWidth="1"/>
    <col min="3" max="3" width="7.875" style="2" customWidth="1"/>
    <col min="4" max="4" width="8.875" style="7" customWidth="1"/>
    <col min="5" max="5" width="34.875" style="7" customWidth="1"/>
    <col min="6" max="6" width="35.25" style="7" customWidth="1"/>
    <col min="7" max="7" width="8.125" style="7" customWidth="1"/>
    <col min="8" max="8" width="14.75" style="7" customWidth="1"/>
    <col min="9" max="9" width="11.625" style="7" customWidth="1"/>
    <col min="10" max="10" width="14.375" style="7" customWidth="1"/>
    <col min="11" max="11" width="13.75" style="7" customWidth="1"/>
    <col min="12" max="16384" width="8.875" style="7"/>
  </cols>
  <sheetData>
    <row r="2" spans="2:12" ht="15">
      <c r="B2" s="91" t="s">
        <v>26</v>
      </c>
      <c r="C2" s="92"/>
      <c r="D2" s="55" t="s">
        <v>27</v>
      </c>
      <c r="E2" s="55" t="s">
        <v>28</v>
      </c>
      <c r="F2" s="55" t="s">
        <v>29</v>
      </c>
      <c r="H2" s="68" t="s">
        <v>15</v>
      </c>
      <c r="I2" s="56" t="s">
        <v>30</v>
      </c>
      <c r="J2" s="56" t="s">
        <v>31</v>
      </c>
      <c r="K2" s="56" t="s">
        <v>32</v>
      </c>
      <c r="L2" s="56" t="s">
        <v>16</v>
      </c>
    </row>
    <row r="3" spans="2:12" ht="15.6">
      <c r="B3" s="93" t="s">
        <v>33</v>
      </c>
      <c r="C3" s="94"/>
      <c r="D3" s="11">
        <v>28</v>
      </c>
      <c r="E3" s="26" t="s">
        <v>34</v>
      </c>
      <c r="F3" s="1" t="s">
        <v>35</v>
      </c>
      <c r="H3" s="69"/>
      <c r="I3" s="57" t="s">
        <v>23</v>
      </c>
      <c r="J3" s="57" t="s">
        <v>23</v>
      </c>
      <c r="K3" s="57" t="s">
        <v>23</v>
      </c>
      <c r="L3" s="57" t="s">
        <v>23</v>
      </c>
    </row>
    <row r="4" spans="2:12" ht="15">
      <c r="B4" s="93" t="s">
        <v>36</v>
      </c>
      <c r="C4" s="94"/>
      <c r="D4" s="3">
        <v>265</v>
      </c>
      <c r="E4" s="27" t="s">
        <v>37</v>
      </c>
      <c r="F4" s="1" t="s">
        <v>35</v>
      </c>
      <c r="H4" s="3">
        <v>2017</v>
      </c>
      <c r="I4" s="10">
        <f>ROUND($D$30,0)</f>
        <v>142779</v>
      </c>
      <c r="J4" s="10">
        <f>ROUND($D$41,0)</f>
        <v>1533</v>
      </c>
      <c r="K4" s="10">
        <f>ROUND($D$63,0)</f>
        <v>1747</v>
      </c>
      <c r="L4" s="10">
        <f>I4+J4+K4</f>
        <v>146059</v>
      </c>
    </row>
    <row r="5" spans="2:12" ht="15.6">
      <c r="B5" s="93" t="s">
        <v>38</v>
      </c>
      <c r="C5" s="94"/>
      <c r="D5" s="3">
        <v>2E-3</v>
      </c>
      <c r="E5" s="26" t="s">
        <v>39</v>
      </c>
      <c r="F5" s="1" t="s">
        <v>40</v>
      </c>
      <c r="H5" s="3">
        <v>2018</v>
      </c>
      <c r="I5" s="10">
        <f>ROUND(D30,0)</f>
        <v>142779</v>
      </c>
      <c r="J5" s="10">
        <f>ROUND(D41,0)</f>
        <v>1533</v>
      </c>
      <c r="K5" s="10">
        <f>ROUND(D63,0)</f>
        <v>1747</v>
      </c>
      <c r="L5" s="10">
        <f t="shared" ref="L5:L11" si="0">I5+J5+K5</f>
        <v>146059</v>
      </c>
    </row>
    <row r="6" spans="2:12" ht="15.6">
      <c r="B6" s="93" t="s">
        <v>41</v>
      </c>
      <c r="C6" s="94"/>
      <c r="D6" s="3">
        <v>3.0000000000000001E-3</v>
      </c>
      <c r="E6" s="26" t="s">
        <v>39</v>
      </c>
      <c r="F6" s="1" t="s">
        <v>40</v>
      </c>
      <c r="H6" s="3">
        <v>2019</v>
      </c>
      <c r="I6" s="10">
        <f>I5</f>
        <v>142779</v>
      </c>
      <c r="J6" s="10">
        <f>J5</f>
        <v>1533</v>
      </c>
      <c r="K6" s="10">
        <f>K5</f>
        <v>1747</v>
      </c>
      <c r="L6" s="10">
        <f t="shared" si="0"/>
        <v>146059</v>
      </c>
    </row>
    <row r="7" spans="2:12" ht="15.6">
      <c r="B7" s="89" t="s">
        <v>42</v>
      </c>
      <c r="C7" s="9" t="s">
        <v>43</v>
      </c>
      <c r="D7" s="11">
        <v>56</v>
      </c>
      <c r="E7" s="26" t="s">
        <v>44</v>
      </c>
      <c r="F7" s="1" t="s">
        <v>40</v>
      </c>
      <c r="H7" s="3">
        <v>2020</v>
      </c>
      <c r="I7" s="10">
        <f t="shared" ref="I7:I43" si="1">I6</f>
        <v>142779</v>
      </c>
      <c r="J7" s="10">
        <f t="shared" ref="J7:J43" si="2">J6</f>
        <v>1533</v>
      </c>
      <c r="K7" s="10">
        <f t="shared" ref="K7:K43" si="3">K6</f>
        <v>1747</v>
      </c>
      <c r="L7" s="10">
        <f t="shared" si="0"/>
        <v>146059</v>
      </c>
    </row>
    <row r="8" spans="2:12" ht="15.6">
      <c r="B8" s="90"/>
      <c r="C8" s="9" t="s">
        <v>45</v>
      </c>
      <c r="D8" s="11">
        <v>5</v>
      </c>
      <c r="E8" s="26" t="s">
        <v>44</v>
      </c>
      <c r="F8" s="1" t="s">
        <v>40</v>
      </c>
      <c r="H8" s="3">
        <v>2021</v>
      </c>
      <c r="I8" s="10">
        <f t="shared" si="1"/>
        <v>142779</v>
      </c>
      <c r="J8" s="10">
        <f t="shared" si="2"/>
        <v>1533</v>
      </c>
      <c r="K8" s="10">
        <f t="shared" si="3"/>
        <v>1747</v>
      </c>
      <c r="L8" s="10">
        <f t="shared" si="0"/>
        <v>146059</v>
      </c>
    </row>
    <row r="9" spans="2:12" ht="15.6">
      <c r="B9" s="89" t="s">
        <v>46</v>
      </c>
      <c r="C9" s="9" t="s">
        <v>43</v>
      </c>
      <c r="D9" s="3">
        <v>0.6</v>
      </c>
      <c r="E9" s="28" t="s">
        <v>47</v>
      </c>
      <c r="F9" s="1" t="s">
        <v>40</v>
      </c>
      <c r="H9" s="3">
        <v>2022</v>
      </c>
      <c r="I9" s="10">
        <f t="shared" si="1"/>
        <v>142779</v>
      </c>
      <c r="J9" s="10">
        <f t="shared" si="2"/>
        <v>1533</v>
      </c>
      <c r="K9" s="10">
        <f t="shared" si="3"/>
        <v>1747</v>
      </c>
      <c r="L9" s="10">
        <f t="shared" si="0"/>
        <v>146059</v>
      </c>
    </row>
    <row r="10" spans="2:12" ht="15.6">
      <c r="B10" s="90"/>
      <c r="C10" s="9" t="s">
        <v>45</v>
      </c>
      <c r="D10" s="3">
        <v>0.6</v>
      </c>
      <c r="E10" s="28" t="s">
        <v>47</v>
      </c>
      <c r="F10" s="1" t="s">
        <v>40</v>
      </c>
      <c r="H10" s="3">
        <v>2023</v>
      </c>
      <c r="I10" s="10">
        <f t="shared" si="1"/>
        <v>142779</v>
      </c>
      <c r="J10" s="10">
        <f t="shared" si="2"/>
        <v>1533</v>
      </c>
      <c r="K10" s="10">
        <f t="shared" si="3"/>
        <v>1747</v>
      </c>
      <c r="L10" s="10">
        <f t="shared" si="0"/>
        <v>146059</v>
      </c>
    </row>
    <row r="11" spans="2:12" ht="15.6" customHeight="1">
      <c r="B11" s="89" t="s">
        <v>48</v>
      </c>
      <c r="C11" s="9" t="s">
        <v>43</v>
      </c>
      <c r="D11" s="14">
        <v>183540</v>
      </c>
      <c r="E11" s="26" t="s">
        <v>49</v>
      </c>
      <c r="F11" s="65" t="s">
        <v>50</v>
      </c>
      <c r="H11" s="3">
        <v>2024</v>
      </c>
      <c r="I11" s="10">
        <f t="shared" si="1"/>
        <v>142779</v>
      </c>
      <c r="J11" s="10">
        <f t="shared" si="2"/>
        <v>1533</v>
      </c>
      <c r="K11" s="10">
        <f t="shared" si="3"/>
        <v>1747</v>
      </c>
      <c r="L11" s="10">
        <f t="shared" si="0"/>
        <v>146059</v>
      </c>
    </row>
    <row r="12" spans="2:12" ht="12.95">
      <c r="B12" s="90"/>
      <c r="C12" s="9" t="s">
        <v>45</v>
      </c>
      <c r="D12" s="14">
        <v>641788</v>
      </c>
      <c r="E12" s="26" t="s">
        <v>49</v>
      </c>
      <c r="F12" s="65" t="s">
        <v>50</v>
      </c>
      <c r="H12" s="3">
        <v>2025</v>
      </c>
      <c r="I12" s="10">
        <f t="shared" si="1"/>
        <v>142779</v>
      </c>
      <c r="J12" s="10">
        <f t="shared" si="2"/>
        <v>1533</v>
      </c>
      <c r="K12" s="10">
        <f t="shared" si="3"/>
        <v>1747</v>
      </c>
      <c r="L12" s="10">
        <f t="shared" ref="L12:L22" si="4">I12+J12+K12</f>
        <v>146059</v>
      </c>
    </row>
    <row r="13" spans="2:12" ht="15.6" customHeight="1">
      <c r="B13" s="89" t="s">
        <v>51</v>
      </c>
      <c r="C13" s="9" t="s">
        <v>43</v>
      </c>
      <c r="D13" s="3">
        <v>300</v>
      </c>
      <c r="E13" s="26" t="s">
        <v>52</v>
      </c>
      <c r="F13" s="65" t="s">
        <v>53</v>
      </c>
      <c r="H13" s="3">
        <v>2026</v>
      </c>
      <c r="I13" s="10">
        <f t="shared" si="1"/>
        <v>142779</v>
      </c>
      <c r="J13" s="10">
        <f t="shared" si="2"/>
        <v>1533</v>
      </c>
      <c r="K13" s="10">
        <f t="shared" si="3"/>
        <v>1747</v>
      </c>
      <c r="L13" s="10">
        <f t="shared" si="4"/>
        <v>146059</v>
      </c>
    </row>
    <row r="14" spans="2:12" ht="12.95">
      <c r="B14" s="90"/>
      <c r="C14" s="9" t="s">
        <v>45</v>
      </c>
      <c r="D14" s="3">
        <v>45</v>
      </c>
      <c r="E14" s="26" t="s">
        <v>52</v>
      </c>
      <c r="F14" s="65" t="s">
        <v>53</v>
      </c>
      <c r="H14" s="3">
        <v>2027</v>
      </c>
      <c r="I14" s="10">
        <f t="shared" si="1"/>
        <v>142779</v>
      </c>
      <c r="J14" s="10">
        <f t="shared" si="2"/>
        <v>1533</v>
      </c>
      <c r="K14" s="10">
        <f t="shared" si="3"/>
        <v>1747</v>
      </c>
      <c r="L14" s="10">
        <f t="shared" si="4"/>
        <v>146059</v>
      </c>
    </row>
    <row r="15" spans="2:12" ht="15.6" customHeight="1">
      <c r="B15" s="89" t="s">
        <v>54</v>
      </c>
      <c r="C15" s="9" t="s">
        <v>43</v>
      </c>
      <c r="D15" s="3">
        <v>0.38</v>
      </c>
      <c r="E15" s="26" t="s">
        <v>55</v>
      </c>
      <c r="F15" s="1" t="s">
        <v>40</v>
      </c>
      <c r="H15" s="3">
        <v>2028</v>
      </c>
      <c r="I15" s="10">
        <f t="shared" si="1"/>
        <v>142779</v>
      </c>
      <c r="J15" s="10">
        <f t="shared" si="2"/>
        <v>1533</v>
      </c>
      <c r="K15" s="10">
        <f t="shared" si="3"/>
        <v>1747</v>
      </c>
      <c r="L15" s="10">
        <f t="shared" si="4"/>
        <v>146059</v>
      </c>
    </row>
    <row r="16" spans="2:12" ht="12.95">
      <c r="B16" s="90"/>
      <c r="C16" s="9" t="s">
        <v>45</v>
      </c>
      <c r="D16" s="3">
        <v>0.32</v>
      </c>
      <c r="E16" s="26" t="s">
        <v>55</v>
      </c>
      <c r="F16" s="1" t="s">
        <v>40</v>
      </c>
      <c r="H16" s="3">
        <v>2029</v>
      </c>
      <c r="I16" s="10">
        <f t="shared" si="1"/>
        <v>142779</v>
      </c>
      <c r="J16" s="10">
        <f t="shared" si="2"/>
        <v>1533</v>
      </c>
      <c r="K16" s="10">
        <f t="shared" si="3"/>
        <v>1747</v>
      </c>
      <c r="L16" s="10">
        <f t="shared" si="4"/>
        <v>146059</v>
      </c>
    </row>
    <row r="17" spans="2:13" ht="15.6" customHeight="1">
      <c r="B17" s="89" t="s">
        <v>56</v>
      </c>
      <c r="C17" s="9" t="s">
        <v>43</v>
      </c>
      <c r="D17" s="11">
        <v>8</v>
      </c>
      <c r="E17" s="26" t="s">
        <v>57</v>
      </c>
      <c r="F17" s="65" t="s">
        <v>50</v>
      </c>
      <c r="H17" s="3">
        <v>2030</v>
      </c>
      <c r="I17" s="10">
        <f t="shared" si="1"/>
        <v>142779</v>
      </c>
      <c r="J17" s="10">
        <f t="shared" si="2"/>
        <v>1533</v>
      </c>
      <c r="K17" s="10">
        <f t="shared" si="3"/>
        <v>1747</v>
      </c>
      <c r="L17" s="10">
        <f t="shared" si="4"/>
        <v>146059</v>
      </c>
      <c r="M17"/>
    </row>
    <row r="18" spans="2:13" ht="14.1">
      <c r="B18" s="90"/>
      <c r="C18" s="9" t="s">
        <v>45</v>
      </c>
      <c r="D18" s="11">
        <v>8</v>
      </c>
      <c r="E18" s="26" t="s">
        <v>57</v>
      </c>
      <c r="F18" s="65" t="s">
        <v>50</v>
      </c>
      <c r="H18" s="3">
        <v>2031</v>
      </c>
      <c r="I18" s="10">
        <f t="shared" si="1"/>
        <v>142779</v>
      </c>
      <c r="J18" s="10">
        <f t="shared" si="2"/>
        <v>1533</v>
      </c>
      <c r="K18" s="10">
        <f t="shared" si="3"/>
        <v>1747</v>
      </c>
      <c r="L18" s="10">
        <f t="shared" si="4"/>
        <v>146059</v>
      </c>
      <c r="M18"/>
    </row>
    <row r="19" spans="2:13" ht="15.6" customHeight="1">
      <c r="B19" s="89" t="s">
        <v>58</v>
      </c>
      <c r="C19" s="9" t="s">
        <v>43</v>
      </c>
      <c r="D19" s="11">
        <v>138</v>
      </c>
      <c r="E19" s="26" t="s">
        <v>59</v>
      </c>
      <c r="F19" s="65" t="s">
        <v>50</v>
      </c>
      <c r="H19" s="3">
        <v>2032</v>
      </c>
      <c r="I19" s="10">
        <f t="shared" si="1"/>
        <v>142779</v>
      </c>
      <c r="J19" s="10">
        <f t="shared" si="2"/>
        <v>1533</v>
      </c>
      <c r="K19" s="10">
        <f t="shared" si="3"/>
        <v>1747</v>
      </c>
      <c r="L19" s="10">
        <f t="shared" si="4"/>
        <v>146059</v>
      </c>
    </row>
    <row r="20" spans="2:13" ht="12.95">
      <c r="B20" s="90"/>
      <c r="C20" s="9" t="s">
        <v>45</v>
      </c>
      <c r="D20" s="11">
        <v>138</v>
      </c>
      <c r="E20" s="26" t="s">
        <v>59</v>
      </c>
      <c r="F20" s="65" t="s">
        <v>50</v>
      </c>
      <c r="H20" s="3">
        <v>2033</v>
      </c>
      <c r="I20" s="10">
        <f t="shared" si="1"/>
        <v>142779</v>
      </c>
      <c r="J20" s="10">
        <f t="shared" si="2"/>
        <v>1533</v>
      </c>
      <c r="K20" s="10">
        <f t="shared" si="3"/>
        <v>1747</v>
      </c>
      <c r="L20" s="10">
        <f t="shared" si="4"/>
        <v>146059</v>
      </c>
    </row>
    <row r="21" spans="2:13" ht="15.6" customHeight="1">
      <c r="B21" s="89" t="s">
        <v>60</v>
      </c>
      <c r="C21" s="9" t="s">
        <v>43</v>
      </c>
      <c r="D21" s="3">
        <v>0.21199999999999999</v>
      </c>
      <c r="E21" s="26" t="s">
        <v>61</v>
      </c>
      <c r="F21" s="1" t="s">
        <v>62</v>
      </c>
      <c r="H21" s="3">
        <v>2034</v>
      </c>
      <c r="I21" s="10">
        <f t="shared" si="1"/>
        <v>142779</v>
      </c>
      <c r="J21" s="10">
        <f t="shared" si="2"/>
        <v>1533</v>
      </c>
      <c r="K21" s="10">
        <f t="shared" si="3"/>
        <v>1747</v>
      </c>
      <c r="L21" s="10">
        <f t="shared" si="4"/>
        <v>146059</v>
      </c>
    </row>
    <row r="22" spans="2:13" ht="15.6" customHeight="1">
      <c r="B22" s="90"/>
      <c r="C22" s="9" t="s">
        <v>45</v>
      </c>
      <c r="D22" s="3">
        <v>0.21199999999999999</v>
      </c>
      <c r="E22" s="26" t="s">
        <v>61</v>
      </c>
      <c r="F22" s="1" t="s">
        <v>62</v>
      </c>
      <c r="H22" s="3">
        <v>2035</v>
      </c>
      <c r="I22" s="10">
        <f t="shared" si="1"/>
        <v>142779</v>
      </c>
      <c r="J22" s="10">
        <f t="shared" si="2"/>
        <v>1533</v>
      </c>
      <c r="K22" s="10">
        <f t="shared" si="3"/>
        <v>1747</v>
      </c>
      <c r="L22" s="10">
        <f t="shared" si="4"/>
        <v>146059</v>
      </c>
    </row>
    <row r="23" spans="2:13" ht="15">
      <c r="B23" s="9" t="s">
        <v>63</v>
      </c>
      <c r="C23" s="9"/>
      <c r="D23" s="3">
        <v>5.0000000000000001E-3</v>
      </c>
      <c r="E23" s="27" t="s">
        <v>64</v>
      </c>
      <c r="F23" s="1" t="s">
        <v>62</v>
      </c>
      <c r="H23" s="3">
        <v>2036</v>
      </c>
      <c r="I23" s="10">
        <f t="shared" si="1"/>
        <v>142779</v>
      </c>
      <c r="J23" s="10">
        <f t="shared" si="2"/>
        <v>1533</v>
      </c>
      <c r="K23" s="10">
        <f t="shared" si="3"/>
        <v>1747</v>
      </c>
      <c r="L23" s="10">
        <f t="shared" ref="L23:L35" si="5">I23+J23+K23</f>
        <v>146059</v>
      </c>
    </row>
    <row r="24" spans="2:13">
      <c r="H24" s="3">
        <v>2037</v>
      </c>
      <c r="I24" s="10">
        <f t="shared" si="1"/>
        <v>142779</v>
      </c>
      <c r="J24" s="10">
        <f t="shared" si="2"/>
        <v>1533</v>
      </c>
      <c r="K24" s="10">
        <f t="shared" si="3"/>
        <v>1747</v>
      </c>
      <c r="L24" s="10">
        <f t="shared" si="5"/>
        <v>146059</v>
      </c>
    </row>
    <row r="25" spans="2:13" ht="15">
      <c r="B25" s="6" t="s">
        <v>65</v>
      </c>
      <c r="C25" s="6"/>
      <c r="H25" s="3">
        <v>2038</v>
      </c>
      <c r="I25" s="10">
        <f t="shared" si="1"/>
        <v>142779</v>
      </c>
      <c r="J25" s="10">
        <f t="shared" si="2"/>
        <v>1533</v>
      </c>
      <c r="K25" s="10">
        <f t="shared" si="3"/>
        <v>1747</v>
      </c>
      <c r="L25" s="10">
        <f t="shared" si="5"/>
        <v>146059</v>
      </c>
    </row>
    <row r="26" spans="2:13">
      <c r="B26" s="97"/>
      <c r="C26" s="97"/>
      <c r="D26" s="97"/>
      <c r="E26" s="97"/>
      <c r="F26" s="97"/>
      <c r="H26" s="3">
        <v>2039</v>
      </c>
      <c r="I26" s="10">
        <f t="shared" si="1"/>
        <v>142779</v>
      </c>
      <c r="J26" s="10">
        <f t="shared" si="2"/>
        <v>1533</v>
      </c>
      <c r="K26" s="10">
        <f t="shared" si="3"/>
        <v>1747</v>
      </c>
      <c r="L26" s="10">
        <f t="shared" si="5"/>
        <v>146059</v>
      </c>
    </row>
    <row r="27" spans="2:13">
      <c r="B27" s="97"/>
      <c r="C27" s="97"/>
      <c r="D27" s="97"/>
      <c r="E27" s="97"/>
      <c r="F27" s="97"/>
      <c r="H27" s="3">
        <v>2040</v>
      </c>
      <c r="I27" s="10">
        <f t="shared" si="1"/>
        <v>142779</v>
      </c>
      <c r="J27" s="10">
        <f t="shared" si="2"/>
        <v>1533</v>
      </c>
      <c r="K27" s="10">
        <f t="shared" si="3"/>
        <v>1747</v>
      </c>
      <c r="L27" s="10">
        <f t="shared" si="5"/>
        <v>146059</v>
      </c>
    </row>
    <row r="28" spans="2:13" ht="14.1">
      <c r="B28" s="97"/>
      <c r="C28" s="97"/>
      <c r="D28" s="97"/>
      <c r="E28" s="97"/>
      <c r="F28" s="97"/>
      <c r="H28" s="3">
        <v>2041</v>
      </c>
      <c r="I28" s="10">
        <f t="shared" si="1"/>
        <v>142779</v>
      </c>
      <c r="J28" s="10">
        <f t="shared" si="2"/>
        <v>1533</v>
      </c>
      <c r="K28" s="10">
        <f t="shared" si="3"/>
        <v>1747</v>
      </c>
      <c r="L28" s="10">
        <f t="shared" si="5"/>
        <v>146059</v>
      </c>
      <c r="M28"/>
    </row>
    <row r="29" spans="2:13" ht="12.95">
      <c r="B29" s="91" t="s">
        <v>26</v>
      </c>
      <c r="C29" s="92"/>
      <c r="D29" s="55" t="s">
        <v>27</v>
      </c>
      <c r="E29" s="55" t="s">
        <v>28</v>
      </c>
      <c r="F29" s="55" t="s">
        <v>29</v>
      </c>
      <c r="H29" s="3">
        <v>2042</v>
      </c>
      <c r="I29" s="10">
        <f t="shared" si="1"/>
        <v>142779</v>
      </c>
      <c r="J29" s="10">
        <f t="shared" si="2"/>
        <v>1533</v>
      </c>
      <c r="K29" s="10">
        <f t="shared" si="3"/>
        <v>1747</v>
      </c>
      <c r="L29" s="10">
        <f t="shared" si="5"/>
        <v>146059</v>
      </c>
    </row>
    <row r="30" spans="2:13" ht="15">
      <c r="B30" s="95" t="s">
        <v>30</v>
      </c>
      <c r="C30" s="96"/>
      <c r="D30" s="21">
        <f>(D3*D11*D7*D19+D3*D12*D8*D20)/(1000*365)</f>
        <v>142779.35210958903</v>
      </c>
      <c r="E30" s="24" t="s">
        <v>23</v>
      </c>
      <c r="F30" s="3" t="s">
        <v>66</v>
      </c>
      <c r="H30" s="3">
        <v>2043</v>
      </c>
      <c r="I30" s="10">
        <f t="shared" si="1"/>
        <v>142779</v>
      </c>
      <c r="J30" s="10">
        <f t="shared" si="2"/>
        <v>1533</v>
      </c>
      <c r="K30" s="10">
        <f t="shared" si="3"/>
        <v>1747</v>
      </c>
      <c r="L30" s="10">
        <f t="shared" si="5"/>
        <v>146059</v>
      </c>
      <c r="M30"/>
    </row>
    <row r="31" spans="2:13">
      <c r="B31" s="7"/>
      <c r="C31" s="7"/>
      <c r="H31" s="3">
        <v>2044</v>
      </c>
      <c r="I31" s="10">
        <f t="shared" si="1"/>
        <v>142779</v>
      </c>
      <c r="J31" s="10">
        <f t="shared" si="2"/>
        <v>1533</v>
      </c>
      <c r="K31" s="10">
        <f t="shared" si="3"/>
        <v>1747</v>
      </c>
      <c r="L31" s="10">
        <f t="shared" si="5"/>
        <v>146059</v>
      </c>
      <c r="M31" s="12" t="s">
        <v>67</v>
      </c>
    </row>
    <row r="32" spans="2:13" ht="12.95">
      <c r="B32" s="6" t="s">
        <v>68</v>
      </c>
      <c r="C32" s="6"/>
      <c r="H32" s="3">
        <v>2045</v>
      </c>
      <c r="I32" s="10">
        <f t="shared" si="1"/>
        <v>142779</v>
      </c>
      <c r="J32" s="10">
        <f t="shared" si="2"/>
        <v>1533</v>
      </c>
      <c r="K32" s="10">
        <f t="shared" si="3"/>
        <v>1747</v>
      </c>
      <c r="L32" s="10">
        <f t="shared" si="5"/>
        <v>146059</v>
      </c>
    </row>
    <row r="33" spans="2:12">
      <c r="B33" s="97"/>
      <c r="C33" s="97"/>
      <c r="D33" s="97"/>
      <c r="E33" s="97"/>
      <c r="F33" s="97"/>
      <c r="H33" s="3">
        <v>2046</v>
      </c>
      <c r="I33" s="10">
        <f t="shared" si="1"/>
        <v>142779</v>
      </c>
      <c r="J33" s="10">
        <f t="shared" si="2"/>
        <v>1533</v>
      </c>
      <c r="K33" s="10">
        <f t="shared" si="3"/>
        <v>1747</v>
      </c>
      <c r="L33" s="10">
        <f t="shared" si="5"/>
        <v>146059</v>
      </c>
    </row>
    <row r="34" spans="2:12">
      <c r="B34" s="97"/>
      <c r="C34" s="97"/>
      <c r="D34" s="97"/>
      <c r="E34" s="97"/>
      <c r="F34" s="97"/>
      <c r="H34" s="3">
        <v>2047</v>
      </c>
      <c r="I34" s="10">
        <f t="shared" si="1"/>
        <v>142779</v>
      </c>
      <c r="J34" s="10">
        <f t="shared" si="2"/>
        <v>1533</v>
      </c>
      <c r="K34" s="10">
        <f t="shared" si="3"/>
        <v>1747</v>
      </c>
      <c r="L34" s="10">
        <f t="shared" si="5"/>
        <v>146059</v>
      </c>
    </row>
    <row r="35" spans="2:12">
      <c r="B35" s="97"/>
      <c r="C35" s="97"/>
      <c r="D35" s="97"/>
      <c r="E35" s="97"/>
      <c r="F35" s="97"/>
      <c r="H35" s="3">
        <v>2048</v>
      </c>
      <c r="I35" s="10">
        <f t="shared" si="1"/>
        <v>142779</v>
      </c>
      <c r="J35" s="10">
        <f t="shared" si="2"/>
        <v>1533</v>
      </c>
      <c r="K35" s="10">
        <f t="shared" si="3"/>
        <v>1747</v>
      </c>
      <c r="L35" s="10">
        <f t="shared" si="5"/>
        <v>146059</v>
      </c>
    </row>
    <row r="36" spans="2:12" ht="15">
      <c r="B36" s="6" t="s">
        <v>69</v>
      </c>
      <c r="C36" s="6"/>
      <c r="H36" s="3">
        <v>2049</v>
      </c>
      <c r="I36" s="10">
        <f t="shared" si="1"/>
        <v>142779</v>
      </c>
      <c r="J36" s="10">
        <f t="shared" si="2"/>
        <v>1533</v>
      </c>
      <c r="K36" s="10">
        <f t="shared" si="3"/>
        <v>1747</v>
      </c>
      <c r="L36" s="10">
        <f t="shared" ref="L36:L43" si="6">I36+J36+K36</f>
        <v>146059</v>
      </c>
    </row>
    <row r="37" spans="2:12">
      <c r="B37" s="97"/>
      <c r="C37" s="97"/>
      <c r="D37" s="97"/>
      <c r="E37" s="97"/>
      <c r="F37" s="97"/>
      <c r="H37" s="3">
        <v>2050</v>
      </c>
      <c r="I37" s="10">
        <f t="shared" si="1"/>
        <v>142779</v>
      </c>
      <c r="J37" s="10">
        <f t="shared" si="2"/>
        <v>1533</v>
      </c>
      <c r="K37" s="10">
        <f t="shared" si="3"/>
        <v>1747</v>
      </c>
      <c r="L37" s="10">
        <f t="shared" si="6"/>
        <v>146059</v>
      </c>
    </row>
    <row r="38" spans="2:12">
      <c r="B38" s="97"/>
      <c r="C38" s="97"/>
      <c r="D38" s="97"/>
      <c r="E38" s="97"/>
      <c r="F38" s="97"/>
      <c r="H38" s="3">
        <v>2051</v>
      </c>
      <c r="I38" s="10">
        <f t="shared" si="1"/>
        <v>142779</v>
      </c>
      <c r="J38" s="10">
        <f t="shared" si="2"/>
        <v>1533</v>
      </c>
      <c r="K38" s="10">
        <f t="shared" si="3"/>
        <v>1747</v>
      </c>
      <c r="L38" s="10">
        <f t="shared" si="6"/>
        <v>146059</v>
      </c>
    </row>
    <row r="39" spans="2:12">
      <c r="B39" s="98"/>
      <c r="C39" s="98"/>
      <c r="D39" s="98"/>
      <c r="E39" s="98"/>
      <c r="F39" s="98"/>
      <c r="H39" s="3">
        <v>2052</v>
      </c>
      <c r="I39" s="10">
        <f t="shared" si="1"/>
        <v>142779</v>
      </c>
      <c r="J39" s="10">
        <f t="shared" si="2"/>
        <v>1533</v>
      </c>
      <c r="K39" s="10">
        <f t="shared" si="3"/>
        <v>1747</v>
      </c>
      <c r="L39" s="10">
        <f t="shared" si="6"/>
        <v>146059</v>
      </c>
    </row>
    <row r="40" spans="2:12" ht="12.95">
      <c r="B40" s="91" t="s">
        <v>26</v>
      </c>
      <c r="C40" s="92"/>
      <c r="D40" s="55" t="s">
        <v>27</v>
      </c>
      <c r="E40" s="55" t="s">
        <v>28</v>
      </c>
      <c r="F40" s="55" t="s">
        <v>29</v>
      </c>
      <c r="H40" s="3">
        <v>2053</v>
      </c>
      <c r="I40" s="10">
        <f t="shared" si="1"/>
        <v>142779</v>
      </c>
      <c r="J40" s="10">
        <f t="shared" si="2"/>
        <v>1533</v>
      </c>
      <c r="K40" s="10">
        <f t="shared" si="3"/>
        <v>1747</v>
      </c>
      <c r="L40" s="10">
        <f t="shared" si="6"/>
        <v>146059</v>
      </c>
    </row>
    <row r="41" spans="2:12" ht="15">
      <c r="B41" s="95" t="s">
        <v>31</v>
      </c>
      <c r="C41" s="96"/>
      <c r="D41" s="23">
        <f>D4*(D55+D56)</f>
        <v>1532.830655126834</v>
      </c>
      <c r="E41" s="24" t="s">
        <v>23</v>
      </c>
      <c r="F41" s="3" t="s">
        <v>66</v>
      </c>
      <c r="H41" s="3">
        <v>2054</v>
      </c>
      <c r="I41" s="10">
        <f t="shared" si="1"/>
        <v>142779</v>
      </c>
      <c r="J41" s="10">
        <f t="shared" si="2"/>
        <v>1533</v>
      </c>
      <c r="K41" s="10">
        <f t="shared" si="3"/>
        <v>1747</v>
      </c>
      <c r="L41" s="10">
        <f t="shared" si="6"/>
        <v>146059</v>
      </c>
    </row>
    <row r="42" spans="2:12">
      <c r="B42" s="7"/>
      <c r="C42" s="7"/>
      <c r="H42" s="3">
        <v>2055</v>
      </c>
      <c r="I42" s="10">
        <f t="shared" si="1"/>
        <v>142779</v>
      </c>
      <c r="J42" s="10">
        <f t="shared" si="2"/>
        <v>1533</v>
      </c>
      <c r="K42" s="10">
        <f t="shared" si="3"/>
        <v>1747</v>
      </c>
      <c r="L42" s="10">
        <f t="shared" si="6"/>
        <v>146059</v>
      </c>
    </row>
    <row r="43" spans="2:12" ht="15">
      <c r="B43" s="6" t="s">
        <v>70</v>
      </c>
      <c r="C43" s="6"/>
      <c r="H43" s="3">
        <v>2056</v>
      </c>
      <c r="I43" s="10">
        <f t="shared" si="1"/>
        <v>142779</v>
      </c>
      <c r="J43" s="10">
        <f t="shared" si="2"/>
        <v>1533</v>
      </c>
      <c r="K43" s="10">
        <f t="shared" si="3"/>
        <v>1747</v>
      </c>
      <c r="L43" s="10">
        <f t="shared" si="6"/>
        <v>146059</v>
      </c>
    </row>
    <row r="44" spans="2:12" ht="12.95">
      <c r="B44" s="97"/>
      <c r="C44" s="97"/>
      <c r="D44" s="97"/>
      <c r="E44" s="97"/>
      <c r="F44" s="97"/>
      <c r="H44" s="20" t="s">
        <v>24</v>
      </c>
      <c r="I44" s="42">
        <f>SUM(I4:I43)</f>
        <v>5711160</v>
      </c>
      <c r="J44" s="42">
        <f t="shared" ref="J44:K44" si="7">SUM(J4:J43)</f>
        <v>61320</v>
      </c>
      <c r="K44" s="42">
        <f t="shared" si="7"/>
        <v>69880</v>
      </c>
      <c r="L44" s="42">
        <f>SUM(L4:L43)</f>
        <v>5842360</v>
      </c>
    </row>
    <row r="45" spans="2:12">
      <c r="B45" s="97"/>
      <c r="C45" s="97"/>
      <c r="D45" s="97"/>
      <c r="E45" s="97"/>
      <c r="F45" s="97"/>
    </row>
    <row r="46" spans="2:12">
      <c r="B46" s="97"/>
      <c r="C46" s="97"/>
      <c r="D46" s="97"/>
      <c r="E46" s="97"/>
      <c r="F46" s="97"/>
    </row>
    <row r="47" spans="2:12">
      <c r="B47" s="97"/>
      <c r="C47" s="97"/>
      <c r="D47" s="97"/>
      <c r="E47" s="97"/>
      <c r="F47" s="97"/>
    </row>
    <row r="48" spans="2:12">
      <c r="B48" s="97"/>
      <c r="C48" s="97"/>
      <c r="D48" s="97"/>
      <c r="E48" s="97"/>
      <c r="F48" s="97"/>
    </row>
    <row r="49" spans="2:13">
      <c r="B49" s="97"/>
      <c r="C49" s="97"/>
      <c r="D49" s="97"/>
      <c r="E49" s="97"/>
      <c r="F49" s="97"/>
    </row>
    <row r="50" spans="2:13" ht="15">
      <c r="B50" s="6" t="s">
        <v>71</v>
      </c>
      <c r="C50" s="6"/>
    </row>
    <row r="51" spans="2:13">
      <c r="B51" s="97"/>
      <c r="C51" s="97"/>
      <c r="D51" s="97"/>
      <c r="E51" s="97"/>
      <c r="F51" s="97"/>
    </row>
    <row r="52" spans="2:13">
      <c r="B52" s="97"/>
      <c r="C52" s="97"/>
      <c r="D52" s="97"/>
      <c r="E52" s="97"/>
      <c r="F52" s="97"/>
    </row>
    <row r="53" spans="2:13">
      <c r="B53" s="98"/>
      <c r="C53" s="98"/>
      <c r="D53" s="98"/>
      <c r="E53" s="98"/>
      <c r="F53" s="98"/>
    </row>
    <row r="54" spans="2:13" ht="14.1">
      <c r="B54" s="91" t="s">
        <v>26</v>
      </c>
      <c r="C54" s="92"/>
      <c r="D54" s="55" t="s">
        <v>27</v>
      </c>
      <c r="E54" s="55" t="s">
        <v>28</v>
      </c>
      <c r="F54" s="55" t="s">
        <v>29</v>
      </c>
      <c r="M54"/>
    </row>
    <row r="55" spans="2:13" ht="15">
      <c r="B55" s="95" t="s">
        <v>72</v>
      </c>
      <c r="C55" s="96"/>
      <c r="D55" s="22">
        <f>D11*D13*D15*D17*D19*(1-D21)/(1000*24*1000)*D5*44/28+D12*D14*D16*D18*D20*(1-D22)/(1000*24*1000)*D6*44/28</f>
        <v>3.9629212280064001</v>
      </c>
      <c r="E55" s="3" t="s">
        <v>73</v>
      </c>
      <c r="F55" s="3" t="s">
        <v>66</v>
      </c>
    </row>
    <row r="56" spans="2:13" ht="15">
      <c r="B56" s="95" t="s">
        <v>74</v>
      </c>
      <c r="C56" s="96"/>
      <c r="D56" s="22">
        <f>D11*D13*D15*D17*D19*(1-D21)*D21*D23/(1000*24*1000)*44/28+D12*D14*D16*D18*D20*(1-D22)*D22*D23/(1000*24*1000)*44/28</f>
        <v>1.8213453951137279</v>
      </c>
      <c r="E56" s="3" t="s">
        <v>73</v>
      </c>
      <c r="F56" s="3" t="s">
        <v>66</v>
      </c>
    </row>
    <row r="57" spans="2:13" ht="12.95">
      <c r="B57" s="25"/>
      <c r="C57" s="25"/>
      <c r="D57" s="25"/>
      <c r="E57" s="25"/>
      <c r="F57" s="25"/>
    </row>
    <row r="58" spans="2:13" ht="15">
      <c r="B58" s="6" t="s">
        <v>75</v>
      </c>
      <c r="C58" s="6"/>
    </row>
    <row r="59" spans="2:13">
      <c r="B59" s="97"/>
      <c r="C59" s="97"/>
      <c r="D59" s="97"/>
      <c r="E59" s="97"/>
      <c r="F59" s="97"/>
    </row>
    <row r="60" spans="2:13">
      <c r="B60" s="97"/>
      <c r="C60" s="97"/>
      <c r="D60" s="97"/>
      <c r="E60" s="97"/>
      <c r="F60" s="97"/>
    </row>
    <row r="61" spans="2:13">
      <c r="B61" s="98"/>
      <c r="C61" s="98"/>
      <c r="D61" s="98"/>
      <c r="E61" s="98"/>
      <c r="F61" s="98"/>
    </row>
    <row r="62" spans="2:13" ht="14.1">
      <c r="B62" s="91" t="s">
        <v>26</v>
      </c>
      <c r="C62" s="92"/>
      <c r="D62" s="55" t="s">
        <v>27</v>
      </c>
      <c r="E62" s="55" t="s">
        <v>28</v>
      </c>
      <c r="F62" s="55" t="s">
        <v>29</v>
      </c>
      <c r="M62"/>
    </row>
    <row r="63" spans="2:13" ht="15.6">
      <c r="B63" s="95" t="s">
        <v>32</v>
      </c>
      <c r="C63" s="96"/>
      <c r="D63" s="23">
        <f>D3*D9*D11*D17*D19/(24*365*1000)+D3*D10*D12*D18*D20/(24*365*1000)</f>
        <v>1747.4341873972603</v>
      </c>
      <c r="E63" s="8" t="s">
        <v>76</v>
      </c>
      <c r="F63" s="3" t="s">
        <v>66</v>
      </c>
    </row>
    <row r="64" spans="2:13">
      <c r="B64" s="7"/>
      <c r="C64" s="7"/>
    </row>
    <row r="65" spans="2:3">
      <c r="B65" s="7"/>
      <c r="C65" s="7"/>
    </row>
    <row r="66" spans="2:3">
      <c r="B66" s="7"/>
      <c r="C66" s="7"/>
    </row>
    <row r="67" spans="2:3">
      <c r="B67" s="7"/>
      <c r="C67" s="7"/>
    </row>
    <row r="68" spans="2:3">
      <c r="B68" s="7"/>
      <c r="C68" s="7"/>
    </row>
    <row r="69" spans="2:3">
      <c r="B69" s="7"/>
      <c r="C69" s="7"/>
    </row>
    <row r="70" spans="2:3">
      <c r="B70" s="7"/>
      <c r="C70" s="7"/>
    </row>
    <row r="71" spans="2:3">
      <c r="B71" s="7"/>
      <c r="C71" s="7"/>
    </row>
  </sheetData>
  <mergeCells count="28">
    <mergeCell ref="B63:C63"/>
    <mergeCell ref="B62:C62"/>
    <mergeCell ref="B21:B22"/>
    <mergeCell ref="B37:F39"/>
    <mergeCell ref="B41:C41"/>
    <mergeCell ref="B30:C30"/>
    <mergeCell ref="B29:C29"/>
    <mergeCell ref="B40:C40"/>
    <mergeCell ref="B26:F28"/>
    <mergeCell ref="B33:F35"/>
    <mergeCell ref="B44:F49"/>
    <mergeCell ref="B51:F53"/>
    <mergeCell ref="B59:F61"/>
    <mergeCell ref="B54:C54"/>
    <mergeCell ref="B55:C55"/>
    <mergeCell ref="B56:C56"/>
    <mergeCell ref="B19:B20"/>
    <mergeCell ref="B2:C2"/>
    <mergeCell ref="B3:C3"/>
    <mergeCell ref="B4:C4"/>
    <mergeCell ref="B5:C5"/>
    <mergeCell ref="B6:C6"/>
    <mergeCell ref="B7:B8"/>
    <mergeCell ref="B9:B10"/>
    <mergeCell ref="B11:B12"/>
    <mergeCell ref="B13:B14"/>
    <mergeCell ref="B15:B16"/>
    <mergeCell ref="B17:B18"/>
  </mergeCells>
  <phoneticPr fontId="2" type="noConversion"/>
  <pageMargins left="0.7" right="0.7" top="0.75" bottom="0.75" header="0.3" footer="0.3"/>
  <pageSetup paperSize="9" orientation="portrait" horizontalDpi="1200" verticalDpi="12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55F47-303C-412A-B23A-37A2C497F173}">
  <dimension ref="B2:O13"/>
  <sheetViews>
    <sheetView workbookViewId="0">
      <selection activeCell="B2" sqref="B2:H8"/>
    </sheetView>
  </sheetViews>
  <sheetFormatPr defaultColWidth="8.875" defaultRowHeight="12.6"/>
  <cols>
    <col min="1" max="1" width="1.375" style="37" customWidth="1"/>
    <col min="2" max="2" width="8.875" style="37"/>
    <col min="3" max="3" width="12.375" style="37" customWidth="1"/>
    <col min="4" max="4" width="20.125" style="37" customWidth="1"/>
    <col min="5" max="5" width="11.625" style="37" customWidth="1"/>
    <col min="6" max="6" width="17.75" style="37" customWidth="1"/>
    <col min="7" max="7" width="14.25" style="37" customWidth="1"/>
    <col min="8" max="9" width="15.625" style="37" customWidth="1"/>
    <col min="10" max="10" width="10.125" style="37" customWidth="1"/>
    <col min="11" max="11" width="9.75" style="37" bestFit="1" customWidth="1"/>
    <col min="12" max="12" width="15.375" style="37" customWidth="1"/>
    <col min="13" max="13" width="17.625" style="37" customWidth="1"/>
    <col min="14" max="14" width="9" style="37" bestFit="1" customWidth="1"/>
    <col min="15" max="15" width="10" style="37" customWidth="1"/>
    <col min="16" max="16" width="8.875" style="37"/>
    <col min="17" max="17" width="13.25" style="37" customWidth="1"/>
    <col min="18" max="18" width="10.875" style="37" customWidth="1"/>
    <col min="19" max="16384" width="8.875" style="37"/>
  </cols>
  <sheetData>
    <row r="2" spans="2:15" s="30" customFormat="1" ht="27.95">
      <c r="B2" s="79" t="s">
        <v>171</v>
      </c>
      <c r="C2" s="79" t="s">
        <v>328</v>
      </c>
      <c r="D2" s="79" t="s">
        <v>329</v>
      </c>
      <c r="E2" s="79" t="s">
        <v>174</v>
      </c>
      <c r="F2" s="79" t="s">
        <v>330</v>
      </c>
      <c r="G2" s="79" t="s">
        <v>176</v>
      </c>
      <c r="H2" s="79" t="s">
        <v>331</v>
      </c>
      <c r="I2" s="77" t="s">
        <v>178</v>
      </c>
    </row>
    <row r="3" spans="2:15" ht="13.35" customHeight="1">
      <c r="B3" s="31" t="s">
        <v>332</v>
      </c>
      <c r="C3" s="32">
        <v>0.13589999999999999</v>
      </c>
      <c r="D3" s="33">
        <v>1.03</v>
      </c>
      <c r="E3" s="33">
        <v>31.33</v>
      </c>
      <c r="F3" s="34">
        <f>E3/1.724</f>
        <v>18.172853828306263</v>
      </c>
      <c r="G3" s="35">
        <v>30</v>
      </c>
      <c r="H3" s="36">
        <f>ROUND(F3*D3*G3*(1-C3)*0.1,2)</f>
        <v>48.52</v>
      </c>
      <c r="I3" s="114" t="s">
        <v>180</v>
      </c>
      <c r="K3" s="30"/>
    </row>
    <row r="4" spans="2:15">
      <c r="B4" s="31" t="s">
        <v>333</v>
      </c>
      <c r="C4" s="32">
        <v>0.1552</v>
      </c>
      <c r="D4" s="33">
        <v>0.81</v>
      </c>
      <c r="E4" s="33">
        <v>57.35</v>
      </c>
      <c r="F4" s="34">
        <f t="shared" ref="F4:F8" si="0">E4/1.724</f>
        <v>33.26566125290023</v>
      </c>
      <c r="G4" s="35">
        <v>30</v>
      </c>
      <c r="H4" s="36">
        <f t="shared" ref="H4:H8" si="1">ROUND(F4*D4*G4*(1-C4)*0.1,2)</f>
        <v>68.290000000000006</v>
      </c>
      <c r="I4" s="115"/>
      <c r="K4" s="30"/>
    </row>
    <row r="5" spans="2:15">
      <c r="B5" s="31" t="s">
        <v>334</v>
      </c>
      <c r="C5" s="32">
        <v>0.16689999999999999</v>
      </c>
      <c r="D5" s="33">
        <v>0.91</v>
      </c>
      <c r="E5" s="33">
        <v>28.16</v>
      </c>
      <c r="F5" s="34">
        <f t="shared" si="0"/>
        <v>16.334106728538284</v>
      </c>
      <c r="G5" s="35">
        <v>30</v>
      </c>
      <c r="H5" s="36">
        <f t="shared" si="1"/>
        <v>37.15</v>
      </c>
      <c r="I5" s="115"/>
      <c r="K5" s="30"/>
    </row>
    <row r="6" spans="2:15">
      <c r="B6" s="31" t="s">
        <v>335</v>
      </c>
      <c r="C6" s="32">
        <v>0.14940000000000001</v>
      </c>
      <c r="D6" s="33">
        <v>1.08</v>
      </c>
      <c r="E6" s="33">
        <v>57.79</v>
      </c>
      <c r="F6" s="34">
        <f t="shared" si="0"/>
        <v>33.52088167053364</v>
      </c>
      <c r="G6" s="35">
        <v>30</v>
      </c>
      <c r="H6" s="36">
        <f t="shared" si="1"/>
        <v>92.38</v>
      </c>
      <c r="I6" s="115"/>
      <c r="K6" s="30"/>
    </row>
    <row r="7" spans="2:15">
      <c r="B7" s="31" t="s">
        <v>336</v>
      </c>
      <c r="C7" s="32">
        <v>0.16700000000000001</v>
      </c>
      <c r="D7" s="33">
        <v>1.1200000000000001</v>
      </c>
      <c r="E7" s="33">
        <v>69</v>
      </c>
      <c r="F7" s="34">
        <f t="shared" si="0"/>
        <v>40.023201856148489</v>
      </c>
      <c r="G7" s="35">
        <v>30</v>
      </c>
      <c r="H7" s="36">
        <f t="shared" si="1"/>
        <v>112.02</v>
      </c>
      <c r="I7" s="115"/>
      <c r="K7" s="30"/>
    </row>
    <row r="8" spans="2:15">
      <c r="B8" s="31" t="s">
        <v>337</v>
      </c>
      <c r="C8" s="32">
        <v>0.1497</v>
      </c>
      <c r="D8" s="33">
        <v>0.94</v>
      </c>
      <c r="E8" s="33">
        <v>57.22</v>
      </c>
      <c r="F8" s="34">
        <f t="shared" si="0"/>
        <v>33.190255220417633</v>
      </c>
      <c r="G8" s="35">
        <v>30</v>
      </c>
      <c r="H8" s="36">
        <f t="shared" si="1"/>
        <v>79.59</v>
      </c>
      <c r="I8" s="115"/>
      <c r="K8" s="30"/>
    </row>
    <row r="9" spans="2:15" ht="13.7" customHeight="1">
      <c r="B9" s="31"/>
      <c r="C9" s="31"/>
      <c r="D9" s="109" t="s">
        <v>186</v>
      </c>
      <c r="E9" s="110"/>
      <c r="F9" s="111"/>
      <c r="G9" s="38"/>
      <c r="H9" s="39">
        <f>AVERAGE(H3:H8)</f>
        <v>72.991666666666674</v>
      </c>
      <c r="I9" s="31"/>
      <c r="K9" s="30"/>
    </row>
    <row r="10" spans="2:15" ht="13.7" customHeight="1">
      <c r="B10" s="31"/>
      <c r="C10" s="31"/>
      <c r="D10" s="109" t="s">
        <v>187</v>
      </c>
      <c r="E10" s="110"/>
      <c r="F10" s="111"/>
      <c r="G10" s="38"/>
      <c r="H10" s="39">
        <f>STDEVA(H3:H8)</f>
        <v>27.742564709605826</v>
      </c>
      <c r="I10" s="31"/>
      <c r="K10" s="30"/>
    </row>
    <row r="11" spans="2:15" ht="13.7" customHeight="1">
      <c r="B11" s="31"/>
      <c r="C11" s="31"/>
      <c r="D11" s="112" t="s">
        <v>188</v>
      </c>
      <c r="E11" s="112"/>
      <c r="F11" s="112"/>
      <c r="G11" s="41"/>
      <c r="H11" s="39">
        <f>STDEVA(H3:H8)</f>
        <v>27.742564709605826</v>
      </c>
      <c r="I11" s="31"/>
      <c r="K11" s="30"/>
    </row>
    <row r="12" spans="2:15" ht="13.7" customHeight="1">
      <c r="B12" s="31"/>
      <c r="C12" s="31"/>
      <c r="D12" s="112" t="s">
        <v>189</v>
      </c>
      <c r="E12" s="112"/>
      <c r="F12" s="112"/>
      <c r="G12" s="41"/>
      <c r="H12" s="39">
        <f>ROUND(AVERAGE(H3:H8),2)</f>
        <v>72.989999999999995</v>
      </c>
      <c r="I12" s="31"/>
    </row>
    <row r="13" spans="2:15" ht="13.7" customHeight="1">
      <c r="O13" s="40"/>
    </row>
  </sheetData>
  <mergeCells count="5">
    <mergeCell ref="I3:I8"/>
    <mergeCell ref="D9:F9"/>
    <mergeCell ref="D10:F10"/>
    <mergeCell ref="D11:F11"/>
    <mergeCell ref="D12:F12"/>
  </mergeCells>
  <phoneticPr fontId="2" type="noConversion"/>
  <pageMargins left="0.7" right="0.7" top="0.75" bottom="0.75" header="0.3" footer="0.3"/>
  <legacy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7C0D0-F2D5-4608-B4C9-A5819D5F0CEC}">
  <dimension ref="B2:O13"/>
  <sheetViews>
    <sheetView workbookViewId="0">
      <selection activeCell="B2" sqref="B2:H8"/>
    </sheetView>
  </sheetViews>
  <sheetFormatPr defaultColWidth="8.875" defaultRowHeight="12.6"/>
  <cols>
    <col min="1" max="1" width="1.375" style="37" customWidth="1"/>
    <col min="2" max="2" width="8.875" style="37"/>
    <col min="3" max="3" width="12.375" style="37" customWidth="1"/>
    <col min="4" max="4" width="20.125" style="37" customWidth="1"/>
    <col min="5" max="5" width="11.625" style="37" customWidth="1"/>
    <col min="6" max="6" width="17.75" style="37" customWidth="1"/>
    <col min="7" max="7" width="14.25" style="37" customWidth="1"/>
    <col min="8" max="9" width="15.625" style="37" customWidth="1"/>
    <col min="10" max="10" width="10.125" style="37" customWidth="1"/>
    <col min="11" max="11" width="9.75" style="37" bestFit="1" customWidth="1"/>
    <col min="12" max="12" width="15.375" style="37" customWidth="1"/>
    <col min="13" max="13" width="17.625" style="37" customWidth="1"/>
    <col min="14" max="14" width="9" style="37" bestFit="1" customWidth="1"/>
    <col min="15" max="15" width="10" style="37" customWidth="1"/>
    <col min="16" max="16" width="8.875" style="37"/>
    <col min="17" max="17" width="13.25" style="37" customWidth="1"/>
    <col min="18" max="18" width="10.875" style="37" customWidth="1"/>
    <col min="19" max="16384" width="8.875" style="37"/>
  </cols>
  <sheetData>
    <row r="2" spans="2:15" s="30" customFormat="1" ht="27.95">
      <c r="B2" s="79" t="s">
        <v>171</v>
      </c>
      <c r="C2" s="79" t="s">
        <v>338</v>
      </c>
      <c r="D2" s="79" t="s">
        <v>339</v>
      </c>
      <c r="E2" s="79" t="s">
        <v>174</v>
      </c>
      <c r="F2" s="79" t="s">
        <v>340</v>
      </c>
      <c r="G2" s="79" t="s">
        <v>176</v>
      </c>
      <c r="H2" s="79" t="s">
        <v>341</v>
      </c>
      <c r="I2" s="77" t="s">
        <v>178</v>
      </c>
    </row>
    <row r="3" spans="2:15" ht="13.35" customHeight="1">
      <c r="B3" s="31" t="s">
        <v>342</v>
      </c>
      <c r="C3" s="32">
        <v>0.16220000000000001</v>
      </c>
      <c r="D3" s="33">
        <v>1.1200000000000001</v>
      </c>
      <c r="E3" s="33">
        <v>56.55</v>
      </c>
      <c r="F3" s="34">
        <f>E3/1.724</f>
        <v>32.801624129930396</v>
      </c>
      <c r="G3" s="35">
        <v>30</v>
      </c>
      <c r="H3" s="36">
        <f>ROUND(F3*D3*G3*(1-C3)*0.1,2)</f>
        <v>92.34</v>
      </c>
      <c r="I3" s="114" t="s">
        <v>180</v>
      </c>
      <c r="K3" s="30"/>
    </row>
    <row r="4" spans="2:15">
      <c r="B4" s="31" t="s">
        <v>343</v>
      </c>
      <c r="C4" s="32">
        <v>0.09</v>
      </c>
      <c r="D4" s="33">
        <v>0.94</v>
      </c>
      <c r="E4" s="33">
        <v>64.13</v>
      </c>
      <c r="F4" s="34">
        <f t="shared" ref="F4:F8" si="0">E4/1.724</f>
        <v>37.198375870069604</v>
      </c>
      <c r="G4" s="35">
        <v>30</v>
      </c>
      <c r="H4" s="36">
        <f t="shared" ref="H4:H8" si="1">ROUND(F4*D4*G4*(1-C4)*0.1,2)</f>
        <v>95.46</v>
      </c>
      <c r="I4" s="115"/>
      <c r="K4" s="30"/>
    </row>
    <row r="5" spans="2:15">
      <c r="B5" s="31" t="s">
        <v>344</v>
      </c>
      <c r="C5" s="32">
        <v>0.14219999999999999</v>
      </c>
      <c r="D5" s="33">
        <v>1.03</v>
      </c>
      <c r="E5" s="33">
        <v>52.31</v>
      </c>
      <c r="F5" s="34">
        <f t="shared" si="0"/>
        <v>30.342227378190255</v>
      </c>
      <c r="G5" s="35">
        <v>30</v>
      </c>
      <c r="H5" s="36">
        <f t="shared" si="1"/>
        <v>80.430000000000007</v>
      </c>
      <c r="I5" s="115"/>
      <c r="K5" s="30"/>
    </row>
    <row r="6" spans="2:15">
      <c r="B6" s="31" t="s">
        <v>345</v>
      </c>
      <c r="C6" s="32">
        <v>0.1424</v>
      </c>
      <c r="D6" s="33">
        <v>0.96</v>
      </c>
      <c r="E6" s="33">
        <v>52.49</v>
      </c>
      <c r="F6" s="34">
        <f t="shared" si="0"/>
        <v>30.446635730858471</v>
      </c>
      <c r="G6" s="35">
        <v>30</v>
      </c>
      <c r="H6" s="36">
        <f t="shared" si="1"/>
        <v>75.2</v>
      </c>
      <c r="I6" s="115"/>
      <c r="K6" s="30"/>
    </row>
    <row r="7" spans="2:15">
      <c r="B7" s="31" t="s">
        <v>346</v>
      </c>
      <c r="C7" s="32">
        <v>0.10340000000000001</v>
      </c>
      <c r="D7" s="33">
        <v>1.19</v>
      </c>
      <c r="E7" s="33">
        <v>59.61</v>
      </c>
      <c r="F7" s="34">
        <f t="shared" si="0"/>
        <v>34.576566125290022</v>
      </c>
      <c r="G7" s="35">
        <v>30</v>
      </c>
      <c r="H7" s="36">
        <f t="shared" si="1"/>
        <v>110.67</v>
      </c>
      <c r="I7" s="115"/>
      <c r="K7" s="30"/>
    </row>
    <row r="8" spans="2:15">
      <c r="B8" s="31" t="s">
        <v>347</v>
      </c>
      <c r="C8" s="32">
        <v>0.15260000000000001</v>
      </c>
      <c r="D8" s="33">
        <v>1.1000000000000001</v>
      </c>
      <c r="E8" s="33">
        <v>36.479999999999997</v>
      </c>
      <c r="F8" s="34">
        <f t="shared" si="0"/>
        <v>21.160092807424594</v>
      </c>
      <c r="G8" s="35">
        <v>30</v>
      </c>
      <c r="H8" s="36">
        <f t="shared" si="1"/>
        <v>59.17</v>
      </c>
      <c r="I8" s="115"/>
      <c r="K8" s="30"/>
    </row>
    <row r="9" spans="2:15" ht="13.7" customHeight="1">
      <c r="B9" s="31"/>
      <c r="C9" s="31"/>
      <c r="D9" s="109" t="s">
        <v>186</v>
      </c>
      <c r="E9" s="110"/>
      <c r="F9" s="111"/>
      <c r="G9" s="38"/>
      <c r="H9" s="39">
        <f>AVERAGE(H3:H8)</f>
        <v>85.545000000000002</v>
      </c>
      <c r="I9" s="31"/>
      <c r="K9" s="30"/>
    </row>
    <row r="10" spans="2:15" ht="13.7" customHeight="1">
      <c r="B10" s="31"/>
      <c r="C10" s="31"/>
      <c r="D10" s="109" t="s">
        <v>187</v>
      </c>
      <c r="E10" s="110"/>
      <c r="F10" s="111"/>
      <c r="G10" s="38"/>
      <c r="H10" s="39">
        <f>STDEVA(H3:H8)</f>
        <v>17.914060120475252</v>
      </c>
      <c r="I10" s="31"/>
      <c r="K10" s="30"/>
    </row>
    <row r="11" spans="2:15" ht="13.7" customHeight="1">
      <c r="B11" s="31"/>
      <c r="C11" s="31"/>
      <c r="D11" s="112" t="s">
        <v>188</v>
      </c>
      <c r="E11" s="112"/>
      <c r="F11" s="112"/>
      <c r="G11" s="41"/>
      <c r="H11" s="39">
        <f>STDEVA(H3:H8)</f>
        <v>17.914060120475252</v>
      </c>
      <c r="I11" s="31"/>
      <c r="K11" s="30"/>
    </row>
    <row r="12" spans="2:15" ht="13.7" customHeight="1">
      <c r="B12" s="31"/>
      <c r="C12" s="31"/>
      <c r="D12" s="112" t="s">
        <v>189</v>
      </c>
      <c r="E12" s="112"/>
      <c r="F12" s="112"/>
      <c r="G12" s="41"/>
      <c r="H12" s="39">
        <f>ROUND(AVERAGE(H3:H8),2)</f>
        <v>85.55</v>
      </c>
      <c r="I12" s="31"/>
    </row>
    <row r="13" spans="2:15" ht="13.7" customHeight="1">
      <c r="O13" s="40"/>
    </row>
  </sheetData>
  <mergeCells count="5">
    <mergeCell ref="I3:I8"/>
    <mergeCell ref="D9:F9"/>
    <mergeCell ref="D10:F10"/>
    <mergeCell ref="D11:F11"/>
    <mergeCell ref="D12:F12"/>
  </mergeCells>
  <phoneticPr fontId="2" type="noConversion"/>
  <pageMargins left="0.7" right="0.7" top="0.75" bottom="0.75" header="0.3" footer="0.3"/>
  <legacy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9C88A-C129-4BD3-9F44-C8EFA6950020}">
  <dimension ref="B2:O13"/>
  <sheetViews>
    <sheetView workbookViewId="0">
      <selection activeCell="B2" sqref="B2:H8"/>
    </sheetView>
  </sheetViews>
  <sheetFormatPr defaultColWidth="8.875" defaultRowHeight="12.6"/>
  <cols>
    <col min="1" max="1" width="1.375" style="37" customWidth="1"/>
    <col min="2" max="2" width="8.875" style="37"/>
    <col min="3" max="3" width="12.375" style="37" customWidth="1"/>
    <col min="4" max="4" width="20.125" style="37" customWidth="1"/>
    <col min="5" max="5" width="11.625" style="37" customWidth="1"/>
    <col min="6" max="6" width="17.75" style="37" customWidth="1"/>
    <col min="7" max="7" width="14.25" style="37" customWidth="1"/>
    <col min="8" max="9" width="15.625" style="37" customWidth="1"/>
    <col min="10" max="10" width="10.125" style="37" customWidth="1"/>
    <col min="11" max="11" width="9.75" style="37" bestFit="1" customWidth="1"/>
    <col min="12" max="12" width="15.375" style="37" customWidth="1"/>
    <col min="13" max="13" width="17.625" style="37" customWidth="1"/>
    <col min="14" max="14" width="9" style="37" bestFit="1" customWidth="1"/>
    <col min="15" max="15" width="10" style="37" customWidth="1"/>
    <col min="16" max="16" width="8.875" style="37"/>
    <col min="17" max="17" width="13.25" style="37" customWidth="1"/>
    <col min="18" max="18" width="10.875" style="37" customWidth="1"/>
    <col min="19" max="16384" width="8.875" style="37"/>
  </cols>
  <sheetData>
    <row r="2" spans="2:15" s="30" customFormat="1" ht="27.95">
      <c r="B2" s="79" t="s">
        <v>171</v>
      </c>
      <c r="C2" s="79" t="s">
        <v>348</v>
      </c>
      <c r="D2" s="79" t="s">
        <v>349</v>
      </c>
      <c r="E2" s="79" t="s">
        <v>174</v>
      </c>
      <c r="F2" s="79" t="s">
        <v>350</v>
      </c>
      <c r="G2" s="79" t="s">
        <v>176</v>
      </c>
      <c r="H2" s="79" t="s">
        <v>351</v>
      </c>
      <c r="I2" s="77" t="s">
        <v>178</v>
      </c>
    </row>
    <row r="3" spans="2:15" ht="13.35" customHeight="1">
      <c r="B3" s="31" t="s">
        <v>352</v>
      </c>
      <c r="C3" s="32">
        <v>0.15210000000000001</v>
      </c>
      <c r="D3" s="33">
        <v>0.98</v>
      </c>
      <c r="E3" s="33">
        <v>43.82</v>
      </c>
      <c r="F3" s="34">
        <f>E3/1.724</f>
        <v>25.417633410672856</v>
      </c>
      <c r="G3" s="35">
        <v>30</v>
      </c>
      <c r="H3" s="36">
        <f>ROUND(F3*D3*G3*(1-C3)*0.1,2)</f>
        <v>63.36</v>
      </c>
      <c r="I3" s="114" t="s">
        <v>180</v>
      </c>
      <c r="K3" s="30"/>
    </row>
    <row r="4" spans="2:15">
      <c r="B4" s="31" t="s">
        <v>353</v>
      </c>
      <c r="C4" s="32">
        <v>0.13919999999999999</v>
      </c>
      <c r="D4" s="33">
        <v>1.1499999999999999</v>
      </c>
      <c r="E4" s="33">
        <v>48.81</v>
      </c>
      <c r="F4" s="34">
        <f t="shared" ref="F4:F8" si="0">E4/1.724</f>
        <v>28.312064965197216</v>
      </c>
      <c r="G4" s="35">
        <v>30</v>
      </c>
      <c r="H4" s="36">
        <f t="shared" ref="H4:H8" si="1">ROUND(F4*D4*G4*(1-C4)*0.1,2)</f>
        <v>84.08</v>
      </c>
      <c r="I4" s="115"/>
      <c r="K4" s="30"/>
    </row>
    <row r="5" spans="2:15">
      <c r="B5" s="31" t="s">
        <v>354</v>
      </c>
      <c r="C5" s="32">
        <v>0.15890000000000001</v>
      </c>
      <c r="D5" s="33">
        <v>0.98</v>
      </c>
      <c r="E5" s="33">
        <v>36.56</v>
      </c>
      <c r="F5" s="34">
        <f t="shared" si="0"/>
        <v>21.206496519721579</v>
      </c>
      <c r="G5" s="35">
        <v>30</v>
      </c>
      <c r="H5" s="36">
        <f t="shared" si="1"/>
        <v>52.44</v>
      </c>
      <c r="I5" s="115"/>
      <c r="K5" s="30"/>
    </row>
    <row r="6" spans="2:15">
      <c r="B6" s="31" t="s">
        <v>355</v>
      </c>
      <c r="C6" s="32">
        <v>0.1658</v>
      </c>
      <c r="D6" s="33">
        <v>1.03</v>
      </c>
      <c r="E6" s="33">
        <v>44.91</v>
      </c>
      <c r="F6" s="34">
        <f t="shared" si="0"/>
        <v>26.049883990719255</v>
      </c>
      <c r="G6" s="35">
        <v>30</v>
      </c>
      <c r="H6" s="36">
        <f t="shared" si="1"/>
        <v>67.150000000000006</v>
      </c>
      <c r="I6" s="115"/>
      <c r="K6" s="30"/>
    </row>
    <row r="7" spans="2:15">
      <c r="B7" s="31" t="s">
        <v>356</v>
      </c>
      <c r="C7" s="32">
        <v>0.13489999999999999</v>
      </c>
      <c r="D7" s="33">
        <v>0.87</v>
      </c>
      <c r="E7" s="33">
        <v>59.54</v>
      </c>
      <c r="F7" s="34">
        <f t="shared" si="0"/>
        <v>34.535962877030165</v>
      </c>
      <c r="G7" s="35">
        <v>30</v>
      </c>
      <c r="H7" s="36">
        <f t="shared" si="1"/>
        <v>77.98</v>
      </c>
      <c r="I7" s="115"/>
      <c r="K7" s="30"/>
    </row>
    <row r="8" spans="2:15">
      <c r="B8" s="31" t="s">
        <v>357</v>
      </c>
      <c r="C8" s="32">
        <v>0.11310000000000001</v>
      </c>
      <c r="D8" s="33">
        <v>1.08</v>
      </c>
      <c r="E8" s="33">
        <v>57.46</v>
      </c>
      <c r="F8" s="34">
        <f t="shared" si="0"/>
        <v>33.329466357308583</v>
      </c>
      <c r="G8" s="35">
        <v>30</v>
      </c>
      <c r="H8" s="36">
        <f t="shared" si="1"/>
        <v>95.77</v>
      </c>
      <c r="I8" s="115"/>
      <c r="K8" s="30"/>
    </row>
    <row r="9" spans="2:15" ht="13.7" customHeight="1">
      <c r="B9" s="31"/>
      <c r="C9" s="31"/>
      <c r="D9" s="109" t="s">
        <v>186</v>
      </c>
      <c r="E9" s="110"/>
      <c r="F9" s="111"/>
      <c r="G9" s="38"/>
      <c r="H9" s="39">
        <f>AVERAGE(H3:H8)</f>
        <v>73.463333333333324</v>
      </c>
      <c r="I9" s="31"/>
      <c r="K9" s="30"/>
    </row>
    <row r="10" spans="2:15" ht="13.7" customHeight="1">
      <c r="B10" s="31"/>
      <c r="C10" s="31"/>
      <c r="D10" s="109" t="s">
        <v>187</v>
      </c>
      <c r="E10" s="110"/>
      <c r="F10" s="111"/>
      <c r="G10" s="38"/>
      <c r="H10" s="39">
        <f>STDEVA(H3:H8)</f>
        <v>15.586002266991617</v>
      </c>
      <c r="I10" s="31"/>
      <c r="K10" s="30"/>
    </row>
    <row r="11" spans="2:15" ht="13.7" customHeight="1">
      <c r="B11" s="31"/>
      <c r="C11" s="31"/>
      <c r="D11" s="112" t="s">
        <v>188</v>
      </c>
      <c r="E11" s="112"/>
      <c r="F11" s="112"/>
      <c r="G11" s="41"/>
      <c r="H11" s="39">
        <f>STDEVA(H3:H8)</f>
        <v>15.586002266991617</v>
      </c>
      <c r="I11" s="31"/>
      <c r="K11" s="30"/>
    </row>
    <row r="12" spans="2:15" ht="13.7" customHeight="1">
      <c r="B12" s="31"/>
      <c r="C12" s="31"/>
      <c r="D12" s="112" t="s">
        <v>189</v>
      </c>
      <c r="E12" s="112"/>
      <c r="F12" s="112"/>
      <c r="G12" s="41"/>
      <c r="H12" s="39">
        <f>ROUND(AVERAGE(H3:H8),2)</f>
        <v>73.459999999999994</v>
      </c>
      <c r="I12" s="31"/>
    </row>
    <row r="13" spans="2:15" ht="13.7" customHeight="1">
      <c r="O13" s="40"/>
    </row>
  </sheetData>
  <mergeCells count="5">
    <mergeCell ref="I3:I8"/>
    <mergeCell ref="D9:F9"/>
    <mergeCell ref="D10:F10"/>
    <mergeCell ref="D11:F11"/>
    <mergeCell ref="D12:F12"/>
  </mergeCells>
  <phoneticPr fontId="2" type="noConversion"/>
  <pageMargins left="0.7" right="0.7" top="0.75" bottom="0.75" header="0.3" footer="0.3"/>
  <legacy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04270-B146-409D-A1C4-C7F187D7290C}">
  <dimension ref="B2:O13"/>
  <sheetViews>
    <sheetView workbookViewId="0">
      <selection activeCell="I19" sqref="I19"/>
    </sheetView>
  </sheetViews>
  <sheetFormatPr defaultColWidth="8.875" defaultRowHeight="12.6"/>
  <cols>
    <col min="1" max="1" width="1.375" style="37" customWidth="1"/>
    <col min="2" max="2" width="8.875" style="37"/>
    <col min="3" max="3" width="12.375" style="37" customWidth="1"/>
    <col min="4" max="4" width="20.125" style="37" customWidth="1"/>
    <col min="5" max="5" width="11.625" style="37" customWidth="1"/>
    <col min="6" max="6" width="17.75" style="37" customWidth="1"/>
    <col min="7" max="7" width="14.25" style="37" customWidth="1"/>
    <col min="8" max="9" width="15.625" style="37" customWidth="1"/>
    <col min="10" max="10" width="10.125" style="37" customWidth="1"/>
    <col min="11" max="11" width="9.75" style="37" bestFit="1" customWidth="1"/>
    <col min="12" max="12" width="15.375" style="37" customWidth="1"/>
    <col min="13" max="13" width="17.625" style="37" customWidth="1"/>
    <col min="14" max="14" width="9" style="37" bestFit="1" customWidth="1"/>
    <col min="15" max="15" width="10" style="37" customWidth="1"/>
    <col min="16" max="16" width="8.875" style="37"/>
    <col min="17" max="17" width="13.25" style="37" customWidth="1"/>
    <col min="18" max="18" width="10.875" style="37" customWidth="1"/>
    <col min="19" max="16384" width="8.875" style="37"/>
  </cols>
  <sheetData>
    <row r="2" spans="2:15" s="30" customFormat="1" ht="27.95">
      <c r="B2" s="79" t="s">
        <v>171</v>
      </c>
      <c r="C2" s="79" t="s">
        <v>358</v>
      </c>
      <c r="D2" s="79" t="s">
        <v>359</v>
      </c>
      <c r="E2" s="79" t="s">
        <v>174</v>
      </c>
      <c r="F2" s="79" t="s">
        <v>360</v>
      </c>
      <c r="G2" s="79" t="s">
        <v>176</v>
      </c>
      <c r="H2" s="79" t="s">
        <v>361</v>
      </c>
      <c r="I2" s="77" t="s">
        <v>178</v>
      </c>
    </row>
    <row r="3" spans="2:15" ht="13.35" customHeight="1">
      <c r="B3" s="31" t="s">
        <v>362</v>
      </c>
      <c r="C3" s="32">
        <v>0.1079</v>
      </c>
      <c r="D3" s="33">
        <v>1.01</v>
      </c>
      <c r="E3" s="33">
        <v>63.85</v>
      </c>
      <c r="F3" s="34">
        <f>E3/1.724</f>
        <v>37.035962877030165</v>
      </c>
      <c r="G3" s="35">
        <v>30</v>
      </c>
      <c r="H3" s="36">
        <f>ROUND(F3*D3*G3*(1-C3)*0.1,2)</f>
        <v>100.11</v>
      </c>
      <c r="I3" s="114" t="s">
        <v>180</v>
      </c>
      <c r="K3" s="30"/>
    </row>
    <row r="4" spans="2:15">
      <c r="B4" s="31" t="s">
        <v>363</v>
      </c>
      <c r="C4" s="32">
        <v>0.14860000000000001</v>
      </c>
      <c r="D4" s="33">
        <v>1.02</v>
      </c>
      <c r="E4" s="33">
        <v>57.91</v>
      </c>
      <c r="F4" s="34">
        <f t="shared" ref="F4:F8" si="0">E4/1.724</f>
        <v>33.590487238979115</v>
      </c>
      <c r="G4" s="35">
        <v>30</v>
      </c>
      <c r="H4" s="36">
        <f t="shared" ref="H4:H8" si="1">ROUND(F4*D4*G4*(1-C4)*0.1,2)</f>
        <v>87.51</v>
      </c>
      <c r="I4" s="115"/>
      <c r="K4" s="30"/>
    </row>
    <row r="5" spans="2:15">
      <c r="B5" s="31" t="s">
        <v>364</v>
      </c>
      <c r="C5" s="32">
        <v>0.1023</v>
      </c>
      <c r="D5" s="33">
        <v>0.87</v>
      </c>
      <c r="E5" s="33">
        <v>31.23</v>
      </c>
      <c r="F5" s="34">
        <f t="shared" si="0"/>
        <v>18.114849187935036</v>
      </c>
      <c r="G5" s="35">
        <v>30</v>
      </c>
      <c r="H5" s="36">
        <f t="shared" si="1"/>
        <v>42.44</v>
      </c>
      <c r="I5" s="115"/>
      <c r="K5" s="30"/>
    </row>
    <row r="6" spans="2:15">
      <c r="B6" s="31" t="s">
        <v>365</v>
      </c>
      <c r="C6" s="32">
        <v>0.13100000000000001</v>
      </c>
      <c r="D6" s="33">
        <v>0.95</v>
      </c>
      <c r="E6" s="33">
        <v>51.05</v>
      </c>
      <c r="F6" s="34">
        <f t="shared" si="0"/>
        <v>29.611368909512759</v>
      </c>
      <c r="G6" s="35">
        <v>30</v>
      </c>
      <c r="H6" s="36">
        <f t="shared" si="1"/>
        <v>73.34</v>
      </c>
      <c r="I6" s="115"/>
      <c r="K6" s="30"/>
    </row>
    <row r="7" spans="2:15">
      <c r="B7" s="31" t="s">
        <v>366</v>
      </c>
      <c r="C7" s="32">
        <v>0.16669999999999999</v>
      </c>
      <c r="D7" s="33">
        <v>1.08</v>
      </c>
      <c r="E7" s="33">
        <v>55.97</v>
      </c>
      <c r="F7" s="34">
        <f t="shared" si="0"/>
        <v>32.465197215777259</v>
      </c>
      <c r="G7" s="35">
        <v>30</v>
      </c>
      <c r="H7" s="36">
        <f t="shared" si="1"/>
        <v>87.65</v>
      </c>
      <c r="I7" s="115"/>
      <c r="K7" s="30"/>
    </row>
    <row r="8" spans="2:15">
      <c r="B8" s="31" t="s">
        <v>367</v>
      </c>
      <c r="C8" s="32">
        <v>8.6300000000000002E-2</v>
      </c>
      <c r="D8" s="33">
        <v>0.88</v>
      </c>
      <c r="E8" s="33">
        <v>47.53</v>
      </c>
      <c r="F8" s="34">
        <f t="shared" si="0"/>
        <v>27.569605568445478</v>
      </c>
      <c r="G8" s="35">
        <v>30</v>
      </c>
      <c r="H8" s="36">
        <f t="shared" si="1"/>
        <v>66.5</v>
      </c>
      <c r="I8" s="115"/>
      <c r="K8" s="30"/>
    </row>
    <row r="9" spans="2:15" ht="13.7" customHeight="1">
      <c r="B9" s="31"/>
      <c r="C9" s="31"/>
      <c r="D9" s="109" t="s">
        <v>186</v>
      </c>
      <c r="E9" s="110"/>
      <c r="F9" s="111"/>
      <c r="G9" s="38"/>
      <c r="H9" s="39">
        <f>AVERAGE(H3:H8)</f>
        <v>76.258333333333326</v>
      </c>
      <c r="I9" s="31"/>
      <c r="K9" s="30"/>
    </row>
    <row r="10" spans="2:15" ht="13.7" customHeight="1">
      <c r="B10" s="31"/>
      <c r="C10" s="31"/>
      <c r="D10" s="109" t="s">
        <v>187</v>
      </c>
      <c r="E10" s="110"/>
      <c r="F10" s="111"/>
      <c r="G10" s="38"/>
      <c r="H10" s="39">
        <f>STDEVA(H3:H8)</f>
        <v>20.360223394321345</v>
      </c>
      <c r="I10" s="31"/>
      <c r="K10" s="30"/>
    </row>
    <row r="11" spans="2:15" ht="13.7" customHeight="1">
      <c r="B11" s="31"/>
      <c r="C11" s="31"/>
      <c r="D11" s="112" t="s">
        <v>188</v>
      </c>
      <c r="E11" s="112"/>
      <c r="F11" s="112"/>
      <c r="G11" s="41"/>
      <c r="H11" s="39">
        <f>STDEVA(H3:H8)</f>
        <v>20.360223394321345</v>
      </c>
      <c r="I11" s="31"/>
      <c r="K11" s="30"/>
    </row>
    <row r="12" spans="2:15" ht="13.7" customHeight="1">
      <c r="B12" s="31"/>
      <c r="C12" s="31"/>
      <c r="D12" s="112" t="s">
        <v>189</v>
      </c>
      <c r="E12" s="112"/>
      <c r="F12" s="112"/>
      <c r="G12" s="41"/>
      <c r="H12" s="39">
        <f>ROUND(AVERAGE(H3:H8),2)</f>
        <v>76.260000000000005</v>
      </c>
      <c r="I12" s="31"/>
    </row>
    <row r="13" spans="2:15" ht="13.7" customHeight="1">
      <c r="O13" s="40"/>
    </row>
  </sheetData>
  <mergeCells count="5">
    <mergeCell ref="I3:I8"/>
    <mergeCell ref="D9:F9"/>
    <mergeCell ref="D10:F10"/>
    <mergeCell ref="D11:F11"/>
    <mergeCell ref="D12:F12"/>
  </mergeCells>
  <phoneticPr fontId="2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99CB6-4C73-4255-A3B8-202ACAE9BFC9}">
  <dimension ref="A2:S84"/>
  <sheetViews>
    <sheetView topLeftCell="A31" zoomScaleNormal="100" workbookViewId="0">
      <selection activeCell="K24" sqref="K24"/>
    </sheetView>
  </sheetViews>
  <sheetFormatPr defaultColWidth="8.875" defaultRowHeight="12.6"/>
  <cols>
    <col min="1" max="1" width="2.875" style="2" customWidth="1"/>
    <col min="2" max="2" width="10.125" style="2" customWidth="1"/>
    <col min="3" max="7" width="7.875" style="2" customWidth="1"/>
    <col min="8" max="9" width="8.875" style="7" customWidth="1"/>
    <col min="10" max="10" width="19.875" style="7" customWidth="1"/>
    <col min="11" max="11" width="35.25" style="7" customWidth="1"/>
    <col min="12" max="12" width="2.875" style="7" customWidth="1"/>
    <col min="13" max="13" width="8.375" style="7" customWidth="1"/>
    <col min="14" max="14" width="10.625" style="7" customWidth="1"/>
    <col min="15" max="15" width="11" style="7" customWidth="1"/>
    <col min="16" max="16" width="10.125" style="7" customWidth="1"/>
    <col min="17" max="17" width="9.625" style="7" customWidth="1"/>
    <col min="18" max="18" width="12.625" style="7" customWidth="1"/>
    <col min="19" max="16384" width="8.875" style="7"/>
  </cols>
  <sheetData>
    <row r="2" spans="2:18" ht="15">
      <c r="B2" s="91" t="s">
        <v>26</v>
      </c>
      <c r="C2" s="92"/>
      <c r="D2" s="91" t="s">
        <v>27</v>
      </c>
      <c r="E2" s="99"/>
      <c r="F2" s="99"/>
      <c r="G2" s="99"/>
      <c r="H2" s="92"/>
      <c r="I2" s="67"/>
      <c r="J2" s="55" t="s">
        <v>28</v>
      </c>
      <c r="K2" s="55" t="s">
        <v>29</v>
      </c>
      <c r="M2" s="68" t="s">
        <v>15</v>
      </c>
      <c r="N2" s="56" t="s">
        <v>77</v>
      </c>
      <c r="O2" s="56" t="s">
        <v>78</v>
      </c>
      <c r="P2" s="56" t="s">
        <v>79</v>
      </c>
      <c r="Q2" s="56" t="s">
        <v>80</v>
      </c>
      <c r="R2" s="56" t="s">
        <v>17</v>
      </c>
    </row>
    <row r="3" spans="2:18" ht="26.1">
      <c r="B3" s="66"/>
      <c r="C3" s="67"/>
      <c r="D3" s="67">
        <v>2017</v>
      </c>
      <c r="E3" s="67">
        <v>2018</v>
      </c>
      <c r="F3" s="67">
        <v>2019</v>
      </c>
      <c r="G3" s="67">
        <v>2020</v>
      </c>
      <c r="H3" s="55">
        <v>2021</v>
      </c>
      <c r="I3" s="70" t="s">
        <v>81</v>
      </c>
      <c r="J3" s="55"/>
      <c r="K3" s="55"/>
      <c r="M3" s="69"/>
      <c r="N3" s="57" t="s">
        <v>23</v>
      </c>
      <c r="O3" s="57" t="s">
        <v>23</v>
      </c>
      <c r="P3" s="57" t="s">
        <v>23</v>
      </c>
      <c r="Q3" s="57" t="s">
        <v>23</v>
      </c>
      <c r="R3" s="57" t="s">
        <v>23</v>
      </c>
    </row>
    <row r="4" spans="2:18" ht="15.6">
      <c r="B4" s="93" t="s">
        <v>33</v>
      </c>
      <c r="C4" s="94"/>
      <c r="D4" s="11">
        <v>28</v>
      </c>
      <c r="E4" s="11">
        <v>28</v>
      </c>
      <c r="F4" s="11">
        <v>28</v>
      </c>
      <c r="G4" s="11">
        <v>28</v>
      </c>
      <c r="H4" s="11">
        <v>28</v>
      </c>
      <c r="I4" s="11">
        <v>28</v>
      </c>
      <c r="J4" s="26" t="s">
        <v>34</v>
      </c>
      <c r="K4" s="1" t="s">
        <v>35</v>
      </c>
      <c r="M4" s="3">
        <v>2017</v>
      </c>
      <c r="N4" s="10">
        <f>ROUND($D$35,0)</f>
        <v>106493</v>
      </c>
      <c r="O4" s="10">
        <f>ROUND($D$47,0)</f>
        <v>1143</v>
      </c>
      <c r="P4" s="10">
        <f>ROUND($D$71,0)</f>
        <v>1303</v>
      </c>
      <c r="Q4" s="10">
        <f>ROUND($D$79,0)</f>
        <v>1282</v>
      </c>
      <c r="R4" s="14">
        <f>SUM(N4:Q4)</f>
        <v>110221</v>
      </c>
    </row>
    <row r="5" spans="2:18" ht="15">
      <c r="B5" s="93" t="s">
        <v>36</v>
      </c>
      <c r="C5" s="94"/>
      <c r="D5" s="3">
        <v>265</v>
      </c>
      <c r="E5" s="3">
        <v>265</v>
      </c>
      <c r="F5" s="3">
        <v>265</v>
      </c>
      <c r="G5" s="3">
        <v>265</v>
      </c>
      <c r="H5" s="3">
        <v>265</v>
      </c>
      <c r="I5" s="3">
        <v>265</v>
      </c>
      <c r="J5" s="27" t="s">
        <v>37</v>
      </c>
      <c r="K5" s="1" t="s">
        <v>35</v>
      </c>
      <c r="M5" s="3">
        <v>2018</v>
      </c>
      <c r="N5" s="10">
        <f>ROUND($E$35,0)</f>
        <v>69861</v>
      </c>
      <c r="O5" s="10">
        <f>ROUND($E$47,0)</f>
        <v>750</v>
      </c>
      <c r="P5" s="10">
        <f>ROUND($E$71,0)</f>
        <v>855</v>
      </c>
      <c r="Q5" s="10">
        <f>ROUND($E$79,0)</f>
        <v>1656</v>
      </c>
      <c r="R5" s="14">
        <f t="shared" ref="R5:R43" si="0">SUM(N5:Q5)</f>
        <v>73122</v>
      </c>
    </row>
    <row r="6" spans="2:18" ht="15.6">
      <c r="B6" s="93" t="s">
        <v>38</v>
      </c>
      <c r="C6" s="94"/>
      <c r="D6" s="3">
        <v>2E-3</v>
      </c>
      <c r="E6" s="3">
        <v>2E-3</v>
      </c>
      <c r="F6" s="3">
        <v>2E-3</v>
      </c>
      <c r="G6" s="3">
        <v>2E-3</v>
      </c>
      <c r="H6" s="3">
        <v>2E-3</v>
      </c>
      <c r="I6" s="3">
        <v>2E-3</v>
      </c>
      <c r="J6" s="26" t="s">
        <v>39</v>
      </c>
      <c r="K6" s="1" t="s">
        <v>62</v>
      </c>
      <c r="M6" s="3">
        <v>2019</v>
      </c>
      <c r="N6" s="10">
        <f>ROUND($F$35,0)</f>
        <v>37491</v>
      </c>
      <c r="O6" s="10">
        <f>ROUND($F$47,0)</f>
        <v>402</v>
      </c>
      <c r="P6" s="10">
        <f>ROUND($F$71,0)</f>
        <v>459</v>
      </c>
      <c r="Q6" s="10">
        <f>ROUND($F$79,0)</f>
        <v>1129</v>
      </c>
      <c r="R6" s="14">
        <f t="shared" si="0"/>
        <v>39481</v>
      </c>
    </row>
    <row r="7" spans="2:18" ht="15.6">
      <c r="B7" s="93" t="s">
        <v>41</v>
      </c>
      <c r="C7" s="94"/>
      <c r="D7" s="3">
        <v>3.0000000000000001E-3</v>
      </c>
      <c r="E7" s="3">
        <v>3.0000000000000001E-3</v>
      </c>
      <c r="F7" s="3">
        <v>3.0000000000000001E-3</v>
      </c>
      <c r="G7" s="3">
        <v>3.0000000000000001E-3</v>
      </c>
      <c r="H7" s="3">
        <v>3.0000000000000001E-3</v>
      </c>
      <c r="I7" s="3">
        <v>3.0000000000000001E-3</v>
      </c>
      <c r="J7" s="26" t="s">
        <v>39</v>
      </c>
      <c r="K7" s="1" t="s">
        <v>62</v>
      </c>
      <c r="M7" s="3">
        <v>2020</v>
      </c>
      <c r="N7" s="10">
        <f>ROUND($G$35,0)</f>
        <v>37491</v>
      </c>
      <c r="O7" s="10">
        <f>ROUND($G$47,0)</f>
        <v>402</v>
      </c>
      <c r="P7" s="10">
        <f>ROUND($G$71,0)</f>
        <v>459</v>
      </c>
      <c r="Q7" s="10">
        <f>ROUND($G$79,0)</f>
        <v>0</v>
      </c>
      <c r="R7" s="14">
        <f t="shared" si="0"/>
        <v>38352</v>
      </c>
    </row>
    <row r="8" spans="2:18" ht="15.6">
      <c r="B8" s="89" t="s">
        <v>42</v>
      </c>
      <c r="C8" s="9" t="s">
        <v>43</v>
      </c>
      <c r="D8" s="11">
        <v>56</v>
      </c>
      <c r="E8" s="11">
        <v>56</v>
      </c>
      <c r="F8" s="11">
        <v>56</v>
      </c>
      <c r="G8" s="11">
        <v>56</v>
      </c>
      <c r="H8" s="11">
        <v>56</v>
      </c>
      <c r="I8" s="11">
        <v>56</v>
      </c>
      <c r="J8" s="26" t="s">
        <v>44</v>
      </c>
      <c r="K8" s="1" t="s">
        <v>40</v>
      </c>
      <c r="M8" s="3">
        <v>2021</v>
      </c>
      <c r="N8" s="10">
        <f>ROUND($H$35,0)</f>
        <v>37491</v>
      </c>
      <c r="O8" s="10">
        <f>ROUND($H$47,0)</f>
        <v>402</v>
      </c>
      <c r="P8" s="10">
        <f>ROUND($H$71,0)</f>
        <v>459</v>
      </c>
      <c r="Q8" s="10">
        <f>ROUND($H$79,0)</f>
        <v>0</v>
      </c>
      <c r="R8" s="14">
        <f t="shared" si="0"/>
        <v>38352</v>
      </c>
    </row>
    <row r="9" spans="2:18" ht="15.6">
      <c r="B9" s="90"/>
      <c r="C9" s="9" t="s">
        <v>45</v>
      </c>
      <c r="D9" s="11">
        <v>5</v>
      </c>
      <c r="E9" s="11">
        <v>5</v>
      </c>
      <c r="F9" s="11">
        <v>5</v>
      </c>
      <c r="G9" s="11">
        <v>5</v>
      </c>
      <c r="H9" s="11">
        <v>5</v>
      </c>
      <c r="I9" s="11">
        <v>5</v>
      </c>
      <c r="J9" s="26" t="s">
        <v>44</v>
      </c>
      <c r="K9" s="1" t="s">
        <v>40</v>
      </c>
      <c r="M9" s="3">
        <v>2022</v>
      </c>
      <c r="N9" s="10">
        <f>ROUND($I$35,0)</f>
        <v>37491</v>
      </c>
      <c r="O9" s="10">
        <f>ROUND($I$47,0)</f>
        <v>402</v>
      </c>
      <c r="P9" s="10">
        <f t="shared" ref="P9:P43" si="1">ROUND($I$71,0)</f>
        <v>459</v>
      </c>
      <c r="Q9" s="10">
        <f t="shared" ref="Q9:Q43" si="2">ROUND($I$79,0)</f>
        <v>0</v>
      </c>
      <c r="R9" s="14">
        <f t="shared" si="0"/>
        <v>38352</v>
      </c>
    </row>
    <row r="10" spans="2:18" ht="15.6">
      <c r="B10" s="89" t="s">
        <v>46</v>
      </c>
      <c r="C10" s="9" t="s">
        <v>43</v>
      </c>
      <c r="D10" s="3">
        <v>0.6</v>
      </c>
      <c r="E10" s="3">
        <v>0.6</v>
      </c>
      <c r="F10" s="3">
        <v>0.6</v>
      </c>
      <c r="G10" s="3">
        <v>0.6</v>
      </c>
      <c r="H10" s="3">
        <v>0.6</v>
      </c>
      <c r="I10" s="3">
        <v>0.6</v>
      </c>
      <c r="J10" s="28" t="s">
        <v>47</v>
      </c>
      <c r="K10" s="1" t="s">
        <v>40</v>
      </c>
      <c r="M10" s="3">
        <v>2023</v>
      </c>
      <c r="N10" s="10">
        <f t="shared" ref="N10:N43" si="3">ROUND($I$35,0)</f>
        <v>37491</v>
      </c>
      <c r="O10" s="10">
        <f t="shared" ref="O10:O43" si="4">ROUND($I$47,0)</f>
        <v>402</v>
      </c>
      <c r="P10" s="10">
        <f t="shared" si="1"/>
        <v>459</v>
      </c>
      <c r="Q10" s="10">
        <f t="shared" si="2"/>
        <v>0</v>
      </c>
      <c r="R10" s="14">
        <f t="shared" si="0"/>
        <v>38352</v>
      </c>
    </row>
    <row r="11" spans="2:18" ht="15.6" customHeight="1">
      <c r="B11" s="90"/>
      <c r="C11" s="9" t="s">
        <v>45</v>
      </c>
      <c r="D11" s="3">
        <v>0.6</v>
      </c>
      <c r="E11" s="3">
        <v>0.6</v>
      </c>
      <c r="F11" s="3">
        <v>0.6</v>
      </c>
      <c r="G11" s="3">
        <v>0.6</v>
      </c>
      <c r="H11" s="3">
        <v>0.6</v>
      </c>
      <c r="I11" s="3">
        <v>0.6</v>
      </c>
      <c r="J11" s="28" t="s">
        <v>47</v>
      </c>
      <c r="K11" s="1" t="s">
        <v>40</v>
      </c>
      <c r="M11" s="3">
        <v>2024</v>
      </c>
      <c r="N11" s="10">
        <f t="shared" si="3"/>
        <v>37491</v>
      </c>
      <c r="O11" s="10">
        <f t="shared" si="4"/>
        <v>402</v>
      </c>
      <c r="P11" s="10">
        <f t="shared" si="1"/>
        <v>459</v>
      </c>
      <c r="Q11" s="10">
        <f t="shared" si="2"/>
        <v>0</v>
      </c>
      <c r="R11" s="14">
        <f t="shared" si="0"/>
        <v>38352</v>
      </c>
    </row>
    <row r="12" spans="2:18" ht="12.95">
      <c r="B12" s="89" t="s">
        <v>82</v>
      </c>
      <c r="C12" s="9" t="s">
        <v>43</v>
      </c>
      <c r="D12" s="14">
        <f>'Baseline Emission'!$D$11-'Leakage Emission'!D12</f>
        <v>151131</v>
      </c>
      <c r="E12" s="14">
        <f>'Baseline Emission'!$D$11-'Leakage Emission'!E12</f>
        <v>99144</v>
      </c>
      <c r="F12" s="14">
        <f>'Baseline Emission'!$D$11-'Leakage Emission'!F12</f>
        <v>53206</v>
      </c>
      <c r="G12" s="14">
        <f>'Baseline Emission'!$D$11-'Leakage Emission'!G12</f>
        <v>53206</v>
      </c>
      <c r="H12" s="14">
        <f>'Baseline Emission'!$D$11-'Leakage Emission'!H12</f>
        <v>53206</v>
      </c>
      <c r="I12" s="14">
        <f>'Baseline Emission'!$D$11-'Leakage Emission'!I12</f>
        <v>53206</v>
      </c>
      <c r="J12" s="26" t="s">
        <v>49</v>
      </c>
      <c r="K12" s="65" t="s">
        <v>50</v>
      </c>
      <c r="M12" s="3">
        <v>2025</v>
      </c>
      <c r="N12" s="10">
        <f t="shared" si="3"/>
        <v>37491</v>
      </c>
      <c r="O12" s="10">
        <f t="shared" si="4"/>
        <v>402</v>
      </c>
      <c r="P12" s="10">
        <f t="shared" si="1"/>
        <v>459</v>
      </c>
      <c r="Q12" s="10">
        <f t="shared" si="2"/>
        <v>0</v>
      </c>
      <c r="R12" s="14">
        <f t="shared" si="0"/>
        <v>38352</v>
      </c>
    </row>
    <row r="13" spans="2:18" ht="15.6" customHeight="1">
      <c r="B13" s="90"/>
      <c r="C13" s="9" t="s">
        <v>45</v>
      </c>
      <c r="D13" s="14">
        <f>'Baseline Emission'!$D$12-'Leakage Emission'!D13</f>
        <v>528465</v>
      </c>
      <c r="E13" s="14">
        <f>'Baseline Emission'!$D$12-'Leakage Emission'!E13</f>
        <v>346680</v>
      </c>
      <c r="F13" s="14">
        <f>'Baseline Emission'!$D$12-'Leakage Emission'!F13</f>
        <v>186046</v>
      </c>
      <c r="G13" s="14">
        <f>'Baseline Emission'!$D$12-'Leakage Emission'!G13</f>
        <v>186046</v>
      </c>
      <c r="H13" s="14">
        <f>'Baseline Emission'!$D$12-'Leakage Emission'!H13</f>
        <v>186046</v>
      </c>
      <c r="I13" s="14">
        <f>'Baseline Emission'!$D$12-'Leakage Emission'!I13</f>
        <v>186046</v>
      </c>
      <c r="J13" s="26" t="s">
        <v>49</v>
      </c>
      <c r="K13" s="65" t="s">
        <v>50</v>
      </c>
      <c r="M13" s="3">
        <v>2026</v>
      </c>
      <c r="N13" s="10">
        <f t="shared" si="3"/>
        <v>37491</v>
      </c>
      <c r="O13" s="10">
        <f t="shared" si="4"/>
        <v>402</v>
      </c>
      <c r="P13" s="10">
        <f t="shared" si="1"/>
        <v>459</v>
      </c>
      <c r="Q13" s="10">
        <f t="shared" si="2"/>
        <v>0</v>
      </c>
      <c r="R13" s="14">
        <f t="shared" si="0"/>
        <v>38352</v>
      </c>
    </row>
    <row r="14" spans="2:18" ht="12.95">
      <c r="B14" s="89" t="s">
        <v>83</v>
      </c>
      <c r="C14" s="9" t="s">
        <v>43</v>
      </c>
      <c r="D14" s="3">
        <v>300</v>
      </c>
      <c r="E14" s="3">
        <v>300</v>
      </c>
      <c r="F14" s="3">
        <v>300</v>
      </c>
      <c r="G14" s="3">
        <v>300</v>
      </c>
      <c r="H14" s="3">
        <v>300</v>
      </c>
      <c r="I14" s="3">
        <v>300</v>
      </c>
      <c r="J14" s="26" t="s">
        <v>52</v>
      </c>
      <c r="K14" s="65" t="s">
        <v>53</v>
      </c>
      <c r="M14" s="3">
        <v>2027</v>
      </c>
      <c r="N14" s="10">
        <f t="shared" si="3"/>
        <v>37491</v>
      </c>
      <c r="O14" s="10">
        <f t="shared" si="4"/>
        <v>402</v>
      </c>
      <c r="P14" s="10">
        <f t="shared" si="1"/>
        <v>459</v>
      </c>
      <c r="Q14" s="10">
        <f t="shared" si="2"/>
        <v>0</v>
      </c>
      <c r="R14" s="14">
        <f t="shared" si="0"/>
        <v>38352</v>
      </c>
    </row>
    <row r="15" spans="2:18" ht="15.6" customHeight="1">
      <c r="B15" s="90"/>
      <c r="C15" s="9" t="s">
        <v>45</v>
      </c>
      <c r="D15" s="3">
        <v>45</v>
      </c>
      <c r="E15" s="3">
        <v>45</v>
      </c>
      <c r="F15" s="3">
        <v>45</v>
      </c>
      <c r="G15" s="3">
        <v>45</v>
      </c>
      <c r="H15" s="3">
        <v>45</v>
      </c>
      <c r="I15" s="3">
        <v>45</v>
      </c>
      <c r="J15" s="26" t="s">
        <v>52</v>
      </c>
      <c r="K15" s="65" t="s">
        <v>53</v>
      </c>
      <c r="M15" s="3">
        <v>2028</v>
      </c>
      <c r="N15" s="10">
        <f t="shared" si="3"/>
        <v>37491</v>
      </c>
      <c r="O15" s="10">
        <f t="shared" si="4"/>
        <v>402</v>
      </c>
      <c r="P15" s="10">
        <f t="shared" si="1"/>
        <v>459</v>
      </c>
      <c r="Q15" s="10">
        <f t="shared" si="2"/>
        <v>0</v>
      </c>
      <c r="R15" s="14">
        <f t="shared" si="0"/>
        <v>38352</v>
      </c>
    </row>
    <row r="16" spans="2:18" ht="12.95">
      <c r="B16" s="89" t="s">
        <v>54</v>
      </c>
      <c r="C16" s="9" t="s">
        <v>43</v>
      </c>
      <c r="D16" s="3">
        <v>0.38</v>
      </c>
      <c r="E16" s="3">
        <v>0.38</v>
      </c>
      <c r="F16" s="3">
        <v>0.38</v>
      </c>
      <c r="G16" s="3">
        <v>0.38</v>
      </c>
      <c r="H16" s="3">
        <v>0.38</v>
      </c>
      <c r="I16" s="3">
        <v>0.38</v>
      </c>
      <c r="J16" s="26" t="s">
        <v>55</v>
      </c>
      <c r="K16" s="1" t="s">
        <v>40</v>
      </c>
      <c r="M16" s="3">
        <v>2029</v>
      </c>
      <c r="N16" s="10">
        <f t="shared" si="3"/>
        <v>37491</v>
      </c>
      <c r="O16" s="10">
        <f t="shared" si="4"/>
        <v>402</v>
      </c>
      <c r="P16" s="10">
        <f t="shared" si="1"/>
        <v>459</v>
      </c>
      <c r="Q16" s="10">
        <f t="shared" si="2"/>
        <v>0</v>
      </c>
      <c r="R16" s="14">
        <f t="shared" si="0"/>
        <v>38352</v>
      </c>
    </row>
    <row r="17" spans="2:19" ht="15.6" customHeight="1">
      <c r="B17" s="90"/>
      <c r="C17" s="9" t="s">
        <v>45</v>
      </c>
      <c r="D17" s="3">
        <v>0.32</v>
      </c>
      <c r="E17" s="3">
        <v>0.32</v>
      </c>
      <c r="F17" s="3">
        <v>0.32</v>
      </c>
      <c r="G17" s="3">
        <v>0.32</v>
      </c>
      <c r="H17" s="3">
        <v>0.32</v>
      </c>
      <c r="I17" s="3">
        <v>0.32</v>
      </c>
      <c r="J17" s="26" t="s">
        <v>55</v>
      </c>
      <c r="K17" s="1" t="s">
        <v>40</v>
      </c>
      <c r="M17" s="3">
        <v>2030</v>
      </c>
      <c r="N17" s="10">
        <f t="shared" si="3"/>
        <v>37491</v>
      </c>
      <c r="O17" s="10">
        <f t="shared" si="4"/>
        <v>402</v>
      </c>
      <c r="P17" s="10">
        <f t="shared" si="1"/>
        <v>459</v>
      </c>
      <c r="Q17" s="10">
        <f t="shared" si="2"/>
        <v>0</v>
      </c>
      <c r="R17" s="14">
        <f t="shared" si="0"/>
        <v>38352</v>
      </c>
      <c r="S17"/>
    </row>
    <row r="18" spans="2:19" ht="14.1">
      <c r="B18" s="89" t="s">
        <v>84</v>
      </c>
      <c r="C18" s="9" t="s">
        <v>43</v>
      </c>
      <c r="D18" s="11">
        <v>8</v>
      </c>
      <c r="E18" s="11">
        <v>8</v>
      </c>
      <c r="F18" s="11">
        <v>8</v>
      </c>
      <c r="G18" s="11">
        <v>8</v>
      </c>
      <c r="H18" s="11">
        <v>8</v>
      </c>
      <c r="I18" s="11">
        <v>8</v>
      </c>
      <c r="J18" s="26" t="s">
        <v>57</v>
      </c>
      <c r="K18" s="65" t="s">
        <v>50</v>
      </c>
      <c r="M18" s="3">
        <v>2031</v>
      </c>
      <c r="N18" s="10">
        <f t="shared" si="3"/>
        <v>37491</v>
      </c>
      <c r="O18" s="10">
        <f t="shared" si="4"/>
        <v>402</v>
      </c>
      <c r="P18" s="10">
        <f t="shared" si="1"/>
        <v>459</v>
      </c>
      <c r="Q18" s="10">
        <f t="shared" si="2"/>
        <v>0</v>
      </c>
      <c r="R18" s="14">
        <f t="shared" si="0"/>
        <v>38352</v>
      </c>
      <c r="S18"/>
    </row>
    <row r="19" spans="2:19" ht="15.6" customHeight="1">
      <c r="B19" s="90"/>
      <c r="C19" s="9" t="s">
        <v>45</v>
      </c>
      <c r="D19" s="11">
        <v>8</v>
      </c>
      <c r="E19" s="11">
        <v>8</v>
      </c>
      <c r="F19" s="11">
        <v>8</v>
      </c>
      <c r="G19" s="11">
        <v>8</v>
      </c>
      <c r="H19" s="11">
        <v>8</v>
      </c>
      <c r="I19" s="11">
        <v>8</v>
      </c>
      <c r="J19" s="26" t="s">
        <v>57</v>
      </c>
      <c r="K19" s="65" t="s">
        <v>50</v>
      </c>
      <c r="M19" s="3">
        <v>2032</v>
      </c>
      <c r="N19" s="10">
        <f t="shared" si="3"/>
        <v>37491</v>
      </c>
      <c r="O19" s="10">
        <f t="shared" si="4"/>
        <v>402</v>
      </c>
      <c r="P19" s="10">
        <f t="shared" si="1"/>
        <v>459</v>
      </c>
      <c r="Q19" s="10">
        <f t="shared" si="2"/>
        <v>0</v>
      </c>
      <c r="R19" s="14">
        <f t="shared" si="0"/>
        <v>38352</v>
      </c>
    </row>
    <row r="20" spans="2:19" ht="12.95">
      <c r="B20" s="89" t="s">
        <v>85</v>
      </c>
      <c r="C20" s="9" t="s">
        <v>43</v>
      </c>
      <c r="D20" s="11">
        <v>125</v>
      </c>
      <c r="E20" s="11">
        <v>125</v>
      </c>
      <c r="F20" s="11">
        <v>125</v>
      </c>
      <c r="G20" s="11">
        <v>125</v>
      </c>
      <c r="H20" s="11">
        <v>125</v>
      </c>
      <c r="I20" s="11">
        <v>125</v>
      </c>
      <c r="J20" s="26" t="s">
        <v>59</v>
      </c>
      <c r="K20" s="65" t="s">
        <v>50</v>
      </c>
      <c r="M20" s="3">
        <v>2033</v>
      </c>
      <c r="N20" s="10">
        <f t="shared" si="3"/>
        <v>37491</v>
      </c>
      <c r="O20" s="10">
        <f t="shared" si="4"/>
        <v>402</v>
      </c>
      <c r="P20" s="10">
        <f t="shared" si="1"/>
        <v>459</v>
      </c>
      <c r="Q20" s="10">
        <f t="shared" si="2"/>
        <v>0</v>
      </c>
      <c r="R20" s="14">
        <f t="shared" si="0"/>
        <v>38352</v>
      </c>
    </row>
    <row r="21" spans="2:19" ht="15.6" customHeight="1">
      <c r="B21" s="90"/>
      <c r="C21" s="9" t="s">
        <v>45</v>
      </c>
      <c r="D21" s="11">
        <v>125</v>
      </c>
      <c r="E21" s="11">
        <v>125</v>
      </c>
      <c r="F21" s="11">
        <v>125</v>
      </c>
      <c r="G21" s="11">
        <v>125</v>
      </c>
      <c r="H21" s="11">
        <v>125</v>
      </c>
      <c r="I21" s="11">
        <v>125</v>
      </c>
      <c r="J21" s="26" t="s">
        <v>59</v>
      </c>
      <c r="K21" s="65" t="s">
        <v>50</v>
      </c>
      <c r="M21" s="3">
        <v>2034</v>
      </c>
      <c r="N21" s="10">
        <f t="shared" si="3"/>
        <v>37491</v>
      </c>
      <c r="O21" s="10">
        <f t="shared" si="4"/>
        <v>402</v>
      </c>
      <c r="P21" s="10">
        <f t="shared" si="1"/>
        <v>459</v>
      </c>
      <c r="Q21" s="10">
        <f t="shared" si="2"/>
        <v>0</v>
      </c>
      <c r="R21" s="14">
        <f t="shared" si="0"/>
        <v>38352</v>
      </c>
    </row>
    <row r="22" spans="2:19" ht="15.6" customHeight="1">
      <c r="B22" s="89" t="s">
        <v>60</v>
      </c>
      <c r="C22" s="9" t="s">
        <v>43</v>
      </c>
      <c r="D22" s="3">
        <v>0.21199999999999999</v>
      </c>
      <c r="E22" s="3">
        <v>0.21199999999999999</v>
      </c>
      <c r="F22" s="3">
        <v>0.21199999999999999</v>
      </c>
      <c r="G22" s="3">
        <v>0.21199999999999999</v>
      </c>
      <c r="H22" s="3">
        <v>0.21199999999999999</v>
      </c>
      <c r="I22" s="3">
        <v>0.21199999999999999</v>
      </c>
      <c r="J22" s="26" t="s">
        <v>61</v>
      </c>
      <c r="K22" s="1" t="s">
        <v>40</v>
      </c>
      <c r="M22" s="3">
        <v>2035</v>
      </c>
      <c r="N22" s="10">
        <f t="shared" si="3"/>
        <v>37491</v>
      </c>
      <c r="O22" s="10">
        <f t="shared" si="4"/>
        <v>402</v>
      </c>
      <c r="P22" s="10">
        <f t="shared" si="1"/>
        <v>459</v>
      </c>
      <c r="Q22" s="10">
        <f t="shared" si="2"/>
        <v>0</v>
      </c>
      <c r="R22" s="14">
        <f t="shared" si="0"/>
        <v>38352</v>
      </c>
    </row>
    <row r="23" spans="2:19" ht="12.95">
      <c r="B23" s="90"/>
      <c r="C23" s="9" t="s">
        <v>45</v>
      </c>
      <c r="D23" s="3">
        <v>0.21199999999999999</v>
      </c>
      <c r="E23" s="3">
        <v>0.21199999999999999</v>
      </c>
      <c r="F23" s="3">
        <v>0.21199999999999999</v>
      </c>
      <c r="G23" s="3">
        <v>0.21199999999999999</v>
      </c>
      <c r="H23" s="3">
        <v>0.21199999999999999</v>
      </c>
      <c r="I23" s="3">
        <v>0.21199999999999999</v>
      </c>
      <c r="J23" s="26" t="s">
        <v>61</v>
      </c>
      <c r="K23" s="1" t="s">
        <v>40</v>
      </c>
      <c r="M23" s="3">
        <v>2036</v>
      </c>
      <c r="N23" s="10">
        <f t="shared" si="3"/>
        <v>37491</v>
      </c>
      <c r="O23" s="10">
        <f t="shared" si="4"/>
        <v>402</v>
      </c>
      <c r="P23" s="10">
        <f t="shared" si="1"/>
        <v>459</v>
      </c>
      <c r="Q23" s="10">
        <f t="shared" si="2"/>
        <v>0</v>
      </c>
      <c r="R23" s="14">
        <f t="shared" si="0"/>
        <v>38352</v>
      </c>
    </row>
    <row r="24" spans="2:19" ht="15">
      <c r="B24" s="93" t="s">
        <v>63</v>
      </c>
      <c r="C24" s="94"/>
      <c r="D24" s="3">
        <v>5.0000000000000001E-3</v>
      </c>
      <c r="E24" s="3">
        <v>5.0000000000000001E-3</v>
      </c>
      <c r="F24" s="3">
        <v>5.0000000000000001E-3</v>
      </c>
      <c r="G24" s="3">
        <v>5.0000000000000001E-3</v>
      </c>
      <c r="H24" s="3">
        <v>5.0000000000000001E-3</v>
      </c>
      <c r="I24" s="3">
        <v>5.0000000000000001E-3</v>
      </c>
      <c r="J24" s="27" t="s">
        <v>64</v>
      </c>
      <c r="K24" s="1" t="s">
        <v>40</v>
      </c>
      <c r="M24" s="3">
        <v>2037</v>
      </c>
      <c r="N24" s="10">
        <f t="shared" si="3"/>
        <v>37491</v>
      </c>
      <c r="O24" s="10">
        <f t="shared" si="4"/>
        <v>402</v>
      </c>
      <c r="P24" s="10">
        <f t="shared" si="1"/>
        <v>459</v>
      </c>
      <c r="Q24" s="10">
        <f t="shared" si="2"/>
        <v>0</v>
      </c>
      <c r="R24" s="14">
        <f t="shared" si="0"/>
        <v>38352</v>
      </c>
    </row>
    <row r="25" spans="2:19" ht="15">
      <c r="B25" s="9" t="s">
        <v>86</v>
      </c>
      <c r="C25" s="9"/>
      <c r="D25" s="14">
        <v>402394.75225509284</v>
      </c>
      <c r="E25" s="14">
        <v>519821.58702275547</v>
      </c>
      <c r="F25" s="14">
        <v>354333.00780824089</v>
      </c>
      <c r="G25" s="14">
        <v>0</v>
      </c>
      <c r="H25" s="14">
        <v>0</v>
      </c>
      <c r="I25" s="14">
        <v>0</v>
      </c>
      <c r="J25" s="3" t="s">
        <v>87</v>
      </c>
      <c r="K25" s="1" t="s">
        <v>88</v>
      </c>
      <c r="M25" s="3">
        <v>2038</v>
      </c>
      <c r="N25" s="10">
        <f t="shared" si="3"/>
        <v>37491</v>
      </c>
      <c r="O25" s="10">
        <f t="shared" si="4"/>
        <v>402</v>
      </c>
      <c r="P25" s="10">
        <f t="shared" si="1"/>
        <v>459</v>
      </c>
      <c r="Q25" s="10">
        <f t="shared" si="2"/>
        <v>0</v>
      </c>
      <c r="R25" s="14">
        <f t="shared" si="0"/>
        <v>38352</v>
      </c>
    </row>
    <row r="26" spans="2:19" ht="15.6">
      <c r="B26" s="9" t="s">
        <v>89</v>
      </c>
      <c r="C26" s="9"/>
      <c r="D26" s="3">
        <v>7.4099999999999999E-2</v>
      </c>
      <c r="E26" s="3">
        <v>7.4099999999999999E-2</v>
      </c>
      <c r="F26" s="3">
        <v>7.4099999999999999E-2</v>
      </c>
      <c r="G26" s="3">
        <v>7.4099999999999999E-2</v>
      </c>
      <c r="H26" s="3">
        <v>7.4099999999999999E-2</v>
      </c>
      <c r="I26" s="3">
        <v>7.4099999999999999E-2</v>
      </c>
      <c r="J26" s="3" t="s">
        <v>90</v>
      </c>
      <c r="K26" s="1" t="s">
        <v>91</v>
      </c>
      <c r="M26" s="3">
        <v>2039</v>
      </c>
      <c r="N26" s="10">
        <f t="shared" si="3"/>
        <v>37491</v>
      </c>
      <c r="O26" s="10">
        <f t="shared" si="4"/>
        <v>402</v>
      </c>
      <c r="P26" s="10">
        <f t="shared" si="1"/>
        <v>459</v>
      </c>
      <c r="Q26" s="10">
        <f t="shared" si="2"/>
        <v>0</v>
      </c>
      <c r="R26" s="14">
        <f t="shared" si="0"/>
        <v>38352</v>
      </c>
    </row>
    <row r="27" spans="2:19" ht="15">
      <c r="B27" s="9" t="s">
        <v>92</v>
      </c>
      <c r="C27" s="9"/>
      <c r="D27" s="3">
        <v>43</v>
      </c>
      <c r="E27" s="3">
        <v>43</v>
      </c>
      <c r="F27" s="3">
        <v>43</v>
      </c>
      <c r="G27" s="3">
        <v>43</v>
      </c>
      <c r="H27" s="3">
        <v>43</v>
      </c>
      <c r="I27" s="3">
        <v>43</v>
      </c>
      <c r="J27" s="3" t="s">
        <v>93</v>
      </c>
      <c r="K27" s="1" t="s">
        <v>91</v>
      </c>
      <c r="M27" s="3">
        <v>2040</v>
      </c>
      <c r="N27" s="10">
        <f t="shared" si="3"/>
        <v>37491</v>
      </c>
      <c r="O27" s="10">
        <f t="shared" si="4"/>
        <v>402</v>
      </c>
      <c r="P27" s="10">
        <f t="shared" si="1"/>
        <v>459</v>
      </c>
      <c r="Q27" s="10">
        <f t="shared" si="2"/>
        <v>0</v>
      </c>
      <c r="R27" s="14">
        <f t="shared" si="0"/>
        <v>38352</v>
      </c>
    </row>
    <row r="28" spans="2:19" ht="14.1">
      <c r="M28" s="3">
        <v>2041</v>
      </c>
      <c r="N28" s="10">
        <f t="shared" si="3"/>
        <v>37491</v>
      </c>
      <c r="O28" s="10">
        <f t="shared" si="4"/>
        <v>402</v>
      </c>
      <c r="P28" s="10">
        <f t="shared" si="1"/>
        <v>459</v>
      </c>
      <c r="Q28" s="10">
        <f t="shared" si="2"/>
        <v>0</v>
      </c>
      <c r="R28" s="14">
        <f t="shared" si="0"/>
        <v>38352</v>
      </c>
      <c r="S28"/>
    </row>
    <row r="29" spans="2:19" ht="15">
      <c r="B29" s="6" t="s">
        <v>94</v>
      </c>
      <c r="C29" s="6"/>
      <c r="D29" s="6"/>
      <c r="E29" s="6"/>
      <c r="F29" s="6"/>
      <c r="G29" s="6"/>
      <c r="M29" s="3">
        <v>2042</v>
      </c>
      <c r="N29" s="10">
        <f t="shared" si="3"/>
        <v>37491</v>
      </c>
      <c r="O29" s="10">
        <f t="shared" si="4"/>
        <v>402</v>
      </c>
      <c r="P29" s="10">
        <f t="shared" si="1"/>
        <v>459</v>
      </c>
      <c r="Q29" s="10">
        <f t="shared" si="2"/>
        <v>0</v>
      </c>
      <c r="R29" s="14">
        <f t="shared" si="0"/>
        <v>38352</v>
      </c>
    </row>
    <row r="30" spans="2:19" ht="14.1">
      <c r="B30" s="97"/>
      <c r="C30" s="97"/>
      <c r="D30" s="97"/>
      <c r="E30" s="97"/>
      <c r="F30" s="97"/>
      <c r="G30" s="97"/>
      <c r="H30" s="97"/>
      <c r="I30" s="97"/>
      <c r="J30" s="97"/>
      <c r="K30" s="97"/>
      <c r="M30" s="3">
        <v>2043</v>
      </c>
      <c r="N30" s="10">
        <f t="shared" si="3"/>
        <v>37491</v>
      </c>
      <c r="O30" s="10">
        <f t="shared" si="4"/>
        <v>402</v>
      </c>
      <c r="P30" s="10">
        <f t="shared" si="1"/>
        <v>459</v>
      </c>
      <c r="Q30" s="10">
        <f t="shared" si="2"/>
        <v>0</v>
      </c>
      <c r="R30" s="14">
        <f t="shared" si="0"/>
        <v>38352</v>
      </c>
      <c r="S30"/>
    </row>
    <row r="31" spans="2:19">
      <c r="B31" s="97"/>
      <c r="C31" s="97"/>
      <c r="D31" s="97"/>
      <c r="E31" s="97"/>
      <c r="F31" s="97"/>
      <c r="G31" s="97"/>
      <c r="H31" s="97"/>
      <c r="I31" s="97"/>
      <c r="J31" s="97"/>
      <c r="K31" s="97"/>
      <c r="M31" s="3">
        <v>2044</v>
      </c>
      <c r="N31" s="10">
        <f t="shared" si="3"/>
        <v>37491</v>
      </c>
      <c r="O31" s="10">
        <f t="shared" si="4"/>
        <v>402</v>
      </c>
      <c r="P31" s="10">
        <f t="shared" si="1"/>
        <v>459</v>
      </c>
      <c r="Q31" s="10">
        <f t="shared" si="2"/>
        <v>0</v>
      </c>
      <c r="R31" s="14">
        <f t="shared" si="0"/>
        <v>38352</v>
      </c>
      <c r="S31" s="12" t="s">
        <v>67</v>
      </c>
    </row>
    <row r="32" spans="2:19">
      <c r="B32" s="97"/>
      <c r="C32" s="97"/>
      <c r="D32" s="97"/>
      <c r="E32" s="97"/>
      <c r="F32" s="97"/>
      <c r="G32" s="97"/>
      <c r="H32" s="97"/>
      <c r="I32" s="97"/>
      <c r="J32" s="97"/>
      <c r="K32" s="97"/>
      <c r="M32" s="3">
        <v>2045</v>
      </c>
      <c r="N32" s="10">
        <f t="shared" si="3"/>
        <v>37491</v>
      </c>
      <c r="O32" s="10">
        <f t="shared" si="4"/>
        <v>402</v>
      </c>
      <c r="P32" s="10">
        <f t="shared" si="1"/>
        <v>459</v>
      </c>
      <c r="Q32" s="10">
        <f t="shared" si="2"/>
        <v>0</v>
      </c>
      <c r="R32" s="14">
        <f t="shared" si="0"/>
        <v>38352</v>
      </c>
    </row>
    <row r="33" spans="2:18" ht="13.7" customHeight="1">
      <c r="B33" s="91" t="s">
        <v>26</v>
      </c>
      <c r="C33" s="92"/>
      <c r="D33" s="91" t="s">
        <v>27</v>
      </c>
      <c r="E33" s="99"/>
      <c r="F33" s="99"/>
      <c r="G33" s="99"/>
      <c r="H33" s="92"/>
      <c r="I33" s="67"/>
      <c r="J33" s="55" t="s">
        <v>28</v>
      </c>
      <c r="K33" s="55" t="s">
        <v>29</v>
      </c>
      <c r="M33" s="3">
        <v>2046</v>
      </c>
      <c r="N33" s="10">
        <f t="shared" si="3"/>
        <v>37491</v>
      </c>
      <c r="O33" s="10">
        <f t="shared" si="4"/>
        <v>402</v>
      </c>
      <c r="P33" s="10">
        <f t="shared" si="1"/>
        <v>459</v>
      </c>
      <c r="Q33" s="10">
        <f t="shared" si="2"/>
        <v>0</v>
      </c>
      <c r="R33" s="14">
        <f t="shared" si="0"/>
        <v>38352</v>
      </c>
    </row>
    <row r="34" spans="2:18" ht="26.1">
      <c r="B34" s="66"/>
      <c r="C34" s="67"/>
      <c r="D34" s="67">
        <v>2017</v>
      </c>
      <c r="E34" s="67">
        <v>2018</v>
      </c>
      <c r="F34" s="67">
        <v>2019</v>
      </c>
      <c r="G34" s="67">
        <v>2020</v>
      </c>
      <c r="H34" s="55">
        <v>2021</v>
      </c>
      <c r="I34" s="70" t="s">
        <v>81</v>
      </c>
      <c r="J34" s="55"/>
      <c r="K34" s="55"/>
      <c r="M34" s="3">
        <v>2047</v>
      </c>
      <c r="N34" s="10">
        <f t="shared" si="3"/>
        <v>37491</v>
      </c>
      <c r="O34" s="10">
        <f t="shared" si="4"/>
        <v>402</v>
      </c>
      <c r="P34" s="10">
        <f t="shared" si="1"/>
        <v>459</v>
      </c>
      <c r="Q34" s="10">
        <f t="shared" si="2"/>
        <v>0</v>
      </c>
      <c r="R34" s="14">
        <f t="shared" si="0"/>
        <v>38352</v>
      </c>
    </row>
    <row r="35" spans="2:18" ht="15">
      <c r="B35" s="95" t="s">
        <v>77</v>
      </c>
      <c r="C35" s="96"/>
      <c r="D35" s="21">
        <f t="shared" ref="D35:I35" si="5">(D4*D12*D8*D20+D4*D13*D9*D21)/(1000*365)</f>
        <v>106492.6397260274</v>
      </c>
      <c r="E35" s="21">
        <f t="shared" si="5"/>
        <v>69860.613698630143</v>
      </c>
      <c r="F35" s="21">
        <f t="shared" si="5"/>
        <v>37490.90684931507</v>
      </c>
      <c r="G35" s="21">
        <f t="shared" si="5"/>
        <v>37490.90684931507</v>
      </c>
      <c r="H35" s="21">
        <f t="shared" si="5"/>
        <v>37490.90684931507</v>
      </c>
      <c r="I35" s="21">
        <f t="shared" si="5"/>
        <v>37490.90684931507</v>
      </c>
      <c r="J35" s="24" t="s">
        <v>23</v>
      </c>
      <c r="K35" s="3" t="s">
        <v>66</v>
      </c>
      <c r="M35" s="3">
        <v>2048</v>
      </c>
      <c r="N35" s="10">
        <f t="shared" si="3"/>
        <v>37491</v>
      </c>
      <c r="O35" s="10">
        <f t="shared" si="4"/>
        <v>402</v>
      </c>
      <c r="P35" s="10">
        <f t="shared" si="1"/>
        <v>459</v>
      </c>
      <c r="Q35" s="10">
        <f t="shared" si="2"/>
        <v>0</v>
      </c>
      <c r="R35" s="14">
        <f t="shared" si="0"/>
        <v>38352</v>
      </c>
    </row>
    <row r="36" spans="2:18">
      <c r="B36" s="7"/>
      <c r="C36" s="7"/>
      <c r="D36" s="7"/>
      <c r="E36" s="7"/>
      <c r="F36" s="7"/>
      <c r="G36" s="7"/>
      <c r="M36" s="3">
        <v>2049</v>
      </c>
      <c r="N36" s="10">
        <f t="shared" si="3"/>
        <v>37491</v>
      </c>
      <c r="O36" s="10">
        <f t="shared" si="4"/>
        <v>402</v>
      </c>
      <c r="P36" s="10">
        <f t="shared" si="1"/>
        <v>459</v>
      </c>
      <c r="Q36" s="10">
        <f t="shared" si="2"/>
        <v>0</v>
      </c>
      <c r="R36" s="14">
        <f t="shared" si="0"/>
        <v>38352</v>
      </c>
    </row>
    <row r="37" spans="2:18" ht="15">
      <c r="B37" s="6" t="s">
        <v>95</v>
      </c>
      <c r="C37" s="6"/>
      <c r="D37" s="6"/>
      <c r="E37" s="6"/>
      <c r="F37" s="6"/>
      <c r="G37" s="6"/>
      <c r="K37"/>
      <c r="M37" s="3">
        <v>2050</v>
      </c>
      <c r="N37" s="10">
        <f t="shared" si="3"/>
        <v>37491</v>
      </c>
      <c r="O37" s="10">
        <f t="shared" si="4"/>
        <v>402</v>
      </c>
      <c r="P37" s="10">
        <f t="shared" si="1"/>
        <v>459</v>
      </c>
      <c r="Q37" s="10">
        <f t="shared" si="2"/>
        <v>0</v>
      </c>
      <c r="R37" s="14">
        <f t="shared" si="0"/>
        <v>38352</v>
      </c>
    </row>
    <row r="38" spans="2:18">
      <c r="B38" s="97"/>
      <c r="C38" s="97"/>
      <c r="D38" s="97"/>
      <c r="E38" s="97"/>
      <c r="F38" s="97"/>
      <c r="G38" s="97"/>
      <c r="H38" s="97"/>
      <c r="I38" s="97"/>
      <c r="J38" s="97"/>
      <c r="K38" s="97"/>
      <c r="M38" s="3">
        <v>2051</v>
      </c>
      <c r="N38" s="10">
        <f t="shared" si="3"/>
        <v>37491</v>
      </c>
      <c r="O38" s="10">
        <f t="shared" si="4"/>
        <v>402</v>
      </c>
      <c r="P38" s="10">
        <f t="shared" si="1"/>
        <v>459</v>
      </c>
      <c r="Q38" s="10">
        <f t="shared" si="2"/>
        <v>0</v>
      </c>
      <c r="R38" s="14">
        <f t="shared" si="0"/>
        <v>38352</v>
      </c>
    </row>
    <row r="39" spans="2:18">
      <c r="B39" s="97"/>
      <c r="C39" s="97"/>
      <c r="D39" s="97"/>
      <c r="E39" s="97"/>
      <c r="F39" s="97"/>
      <c r="G39" s="97"/>
      <c r="H39" s="97"/>
      <c r="I39" s="97"/>
      <c r="J39" s="97"/>
      <c r="K39" s="97"/>
      <c r="M39" s="3">
        <v>2052</v>
      </c>
      <c r="N39" s="10">
        <f t="shared" si="3"/>
        <v>37491</v>
      </c>
      <c r="O39" s="10">
        <f t="shared" si="4"/>
        <v>402</v>
      </c>
      <c r="P39" s="10">
        <f t="shared" si="1"/>
        <v>459</v>
      </c>
      <c r="Q39" s="10">
        <f t="shared" si="2"/>
        <v>0</v>
      </c>
      <c r="R39" s="14">
        <f t="shared" si="0"/>
        <v>38352</v>
      </c>
    </row>
    <row r="40" spans="2:18">
      <c r="B40" s="97"/>
      <c r="C40" s="97"/>
      <c r="D40" s="97"/>
      <c r="E40" s="97"/>
      <c r="F40" s="97"/>
      <c r="G40" s="97"/>
      <c r="H40" s="97"/>
      <c r="I40" s="97"/>
      <c r="J40" s="97"/>
      <c r="K40" s="97"/>
      <c r="M40" s="3">
        <v>2053</v>
      </c>
      <c r="N40" s="10">
        <f t="shared" si="3"/>
        <v>37491</v>
      </c>
      <c r="O40" s="10">
        <f t="shared" si="4"/>
        <v>402</v>
      </c>
      <c r="P40" s="10">
        <f t="shared" si="1"/>
        <v>459</v>
      </c>
      <c r="Q40" s="10">
        <f t="shared" si="2"/>
        <v>0</v>
      </c>
      <c r="R40" s="14">
        <f t="shared" si="0"/>
        <v>38352</v>
      </c>
    </row>
    <row r="41" spans="2:18" ht="15">
      <c r="B41" s="6" t="s">
        <v>96</v>
      </c>
      <c r="C41" s="6"/>
      <c r="D41" s="6"/>
      <c r="E41" s="6"/>
      <c r="F41" s="6"/>
      <c r="G41" s="6"/>
      <c r="M41" s="3">
        <v>2054</v>
      </c>
      <c r="N41" s="10">
        <f t="shared" si="3"/>
        <v>37491</v>
      </c>
      <c r="O41" s="10">
        <f t="shared" si="4"/>
        <v>402</v>
      </c>
      <c r="P41" s="10">
        <f t="shared" si="1"/>
        <v>459</v>
      </c>
      <c r="Q41" s="10">
        <f t="shared" si="2"/>
        <v>0</v>
      </c>
      <c r="R41" s="14">
        <f t="shared" si="0"/>
        <v>38352</v>
      </c>
    </row>
    <row r="42" spans="2:18">
      <c r="B42" s="97"/>
      <c r="C42" s="97"/>
      <c r="D42" s="97"/>
      <c r="E42" s="97"/>
      <c r="F42" s="97"/>
      <c r="G42" s="97"/>
      <c r="H42" s="97"/>
      <c r="I42" s="97"/>
      <c r="J42" s="97"/>
      <c r="K42" s="97"/>
      <c r="M42" s="3">
        <v>2055</v>
      </c>
      <c r="N42" s="10">
        <f t="shared" si="3"/>
        <v>37491</v>
      </c>
      <c r="O42" s="10">
        <f t="shared" si="4"/>
        <v>402</v>
      </c>
      <c r="P42" s="10">
        <f t="shared" si="1"/>
        <v>459</v>
      </c>
      <c r="Q42" s="10">
        <f t="shared" si="2"/>
        <v>0</v>
      </c>
      <c r="R42" s="14">
        <f t="shared" si="0"/>
        <v>38352</v>
      </c>
    </row>
    <row r="43" spans="2:18">
      <c r="B43" s="97"/>
      <c r="C43" s="97"/>
      <c r="D43" s="97"/>
      <c r="E43" s="97"/>
      <c r="F43" s="97"/>
      <c r="G43" s="97"/>
      <c r="H43" s="97"/>
      <c r="I43" s="97"/>
      <c r="J43" s="97"/>
      <c r="K43" s="97"/>
      <c r="M43" s="3">
        <v>2056</v>
      </c>
      <c r="N43" s="10">
        <f t="shared" si="3"/>
        <v>37491</v>
      </c>
      <c r="O43" s="10">
        <f t="shared" si="4"/>
        <v>402</v>
      </c>
      <c r="P43" s="10">
        <f t="shared" si="1"/>
        <v>459</v>
      </c>
      <c r="Q43" s="10">
        <f t="shared" si="2"/>
        <v>0</v>
      </c>
      <c r="R43" s="14">
        <f t="shared" si="0"/>
        <v>38352</v>
      </c>
    </row>
    <row r="44" spans="2:18" ht="12.95">
      <c r="B44" s="98"/>
      <c r="C44" s="98"/>
      <c r="D44" s="98"/>
      <c r="E44" s="98"/>
      <c r="F44" s="98"/>
      <c r="G44" s="98"/>
      <c r="H44" s="98"/>
      <c r="I44" s="98"/>
      <c r="J44" s="98"/>
      <c r="K44" s="98"/>
      <c r="M44" s="20" t="s">
        <v>24</v>
      </c>
      <c r="N44" s="42">
        <f>SUM(N4:N43)</f>
        <v>1601012</v>
      </c>
      <c r="O44" s="42">
        <f t="shared" ref="O44:R44" si="6">SUM(O4:O43)</f>
        <v>17169</v>
      </c>
      <c r="P44" s="42">
        <f t="shared" si="6"/>
        <v>19600</v>
      </c>
      <c r="Q44" s="42">
        <f t="shared" si="6"/>
        <v>4067</v>
      </c>
      <c r="R44" s="21">
        <f t="shared" si="6"/>
        <v>1641848</v>
      </c>
    </row>
    <row r="45" spans="2:18" ht="13.7" customHeight="1">
      <c r="B45" s="91" t="s">
        <v>26</v>
      </c>
      <c r="C45" s="92"/>
      <c r="D45" s="91" t="s">
        <v>27</v>
      </c>
      <c r="E45" s="99"/>
      <c r="F45" s="99"/>
      <c r="G45" s="99"/>
      <c r="H45" s="92"/>
      <c r="I45" s="67"/>
      <c r="J45" s="55" t="s">
        <v>28</v>
      </c>
      <c r="K45" s="55" t="s">
        <v>29</v>
      </c>
    </row>
    <row r="46" spans="2:18" ht="26.1">
      <c r="B46" s="66"/>
      <c r="C46" s="67"/>
      <c r="D46" s="67">
        <v>2017</v>
      </c>
      <c r="E46" s="67">
        <v>2018</v>
      </c>
      <c r="F46" s="67">
        <v>2019</v>
      </c>
      <c r="G46" s="67">
        <v>2020</v>
      </c>
      <c r="H46" s="55">
        <v>2021</v>
      </c>
      <c r="I46" s="70" t="s">
        <v>81</v>
      </c>
      <c r="J46" s="55"/>
      <c r="K46" s="55"/>
    </row>
    <row r="47" spans="2:18" ht="15">
      <c r="B47" s="95" t="s">
        <v>78</v>
      </c>
      <c r="C47" s="96"/>
      <c r="D47" s="23">
        <f t="shared" ref="D47:I47" si="7">D5*(D62+D63)</f>
        <v>1143.2694555173571</v>
      </c>
      <c r="E47" s="23">
        <f t="shared" si="7"/>
        <v>750.00017083577154</v>
      </c>
      <c r="F47" s="23">
        <f t="shared" si="7"/>
        <v>402.48951016390288</v>
      </c>
      <c r="G47" s="23">
        <f t="shared" si="7"/>
        <v>402.48951016390288</v>
      </c>
      <c r="H47" s="23">
        <f t="shared" si="7"/>
        <v>402.48951016390288</v>
      </c>
      <c r="I47" s="23">
        <f t="shared" si="7"/>
        <v>402.48951016390288</v>
      </c>
      <c r="J47" s="24" t="s">
        <v>23</v>
      </c>
      <c r="K47" s="3" t="s">
        <v>66</v>
      </c>
      <c r="O47"/>
    </row>
    <row r="48" spans="2:18">
      <c r="B48" s="7"/>
      <c r="C48" s="7"/>
      <c r="D48" s="7"/>
      <c r="E48" s="7"/>
      <c r="F48" s="7"/>
      <c r="G48" s="7"/>
    </row>
    <row r="49" spans="2:19" ht="15">
      <c r="B49" s="6" t="s">
        <v>70</v>
      </c>
      <c r="C49" s="6"/>
      <c r="D49" s="6"/>
      <c r="E49" s="6"/>
      <c r="F49" s="6"/>
      <c r="G49" s="6"/>
      <c r="M49"/>
    </row>
    <row r="50" spans="2:19">
      <c r="B50" s="97"/>
      <c r="C50" s="97"/>
      <c r="D50" s="97"/>
      <c r="E50" s="97"/>
      <c r="F50" s="97"/>
      <c r="G50" s="97"/>
      <c r="H50" s="97"/>
      <c r="I50" s="97"/>
      <c r="J50" s="97"/>
      <c r="K50" s="97"/>
    </row>
    <row r="51" spans="2:19">
      <c r="B51" s="97"/>
      <c r="C51" s="97"/>
      <c r="D51" s="97"/>
      <c r="E51" s="97"/>
      <c r="F51" s="97"/>
      <c r="G51" s="97"/>
      <c r="H51" s="97"/>
      <c r="I51" s="97"/>
      <c r="J51" s="97"/>
      <c r="K51" s="97"/>
    </row>
    <row r="52" spans="2:19" ht="14.1">
      <c r="B52" s="97"/>
      <c r="C52" s="97"/>
      <c r="D52" s="97"/>
      <c r="E52" s="97"/>
      <c r="F52" s="97"/>
      <c r="G52" s="97"/>
      <c r="H52" s="97"/>
      <c r="I52" s="97"/>
      <c r="J52" s="97"/>
      <c r="K52" s="97"/>
      <c r="M52"/>
    </row>
    <row r="53" spans="2:19" ht="14.1">
      <c r="B53" s="97"/>
      <c r="C53" s="97"/>
      <c r="D53" s="97"/>
      <c r="E53" s="97"/>
      <c r="F53" s="97"/>
      <c r="G53" s="97"/>
      <c r="H53" s="97"/>
      <c r="I53" s="97"/>
      <c r="J53" s="97"/>
      <c r="K53" s="97"/>
      <c r="O53"/>
    </row>
    <row r="54" spans="2:19" ht="14.1">
      <c r="B54" s="97"/>
      <c r="C54" s="97"/>
      <c r="D54" s="97"/>
      <c r="E54" s="97"/>
      <c r="F54" s="97"/>
      <c r="G54" s="97"/>
      <c r="H54" s="97"/>
      <c r="I54" s="97"/>
      <c r="J54" s="97"/>
      <c r="K54" s="97"/>
      <c r="S54"/>
    </row>
    <row r="55" spans="2:19" ht="14.1">
      <c r="B55" s="98"/>
      <c r="C55" s="98"/>
      <c r="D55" s="98"/>
      <c r="E55" s="98"/>
      <c r="F55" s="98"/>
      <c r="G55" s="98"/>
      <c r="H55" s="98"/>
      <c r="I55" s="98"/>
      <c r="J55" s="98"/>
      <c r="K55" s="98"/>
      <c r="M55"/>
    </row>
    <row r="56" spans="2:19" ht="15">
      <c r="B56" s="6" t="s">
        <v>71</v>
      </c>
      <c r="C56" s="6"/>
      <c r="D56" s="6"/>
      <c r="E56" s="6"/>
      <c r="F56" s="6"/>
      <c r="G56" s="6"/>
    </row>
    <row r="57" spans="2:19">
      <c r="B57" s="97"/>
      <c r="C57" s="97"/>
      <c r="D57" s="97"/>
      <c r="E57" s="97"/>
      <c r="F57" s="97"/>
      <c r="G57" s="97"/>
      <c r="H57" s="97"/>
      <c r="I57" s="97"/>
      <c r="J57" s="97"/>
      <c r="K57" s="97"/>
    </row>
    <row r="58" spans="2:19">
      <c r="B58" s="97"/>
      <c r="C58" s="97"/>
      <c r="D58" s="97"/>
      <c r="E58" s="97"/>
      <c r="F58" s="97"/>
      <c r="G58" s="97"/>
      <c r="H58" s="97"/>
      <c r="I58" s="97"/>
      <c r="J58" s="97"/>
      <c r="K58" s="97"/>
    </row>
    <row r="59" spans="2:19">
      <c r="B59" s="98"/>
      <c r="C59" s="98"/>
      <c r="D59" s="98"/>
      <c r="E59" s="98"/>
      <c r="F59" s="98"/>
      <c r="G59" s="98"/>
      <c r="H59" s="98"/>
      <c r="I59" s="98"/>
      <c r="J59" s="98"/>
      <c r="K59" s="98"/>
    </row>
    <row r="60" spans="2:19" ht="14.1">
      <c r="B60" s="91" t="s">
        <v>26</v>
      </c>
      <c r="C60" s="92"/>
      <c r="D60" s="91" t="s">
        <v>27</v>
      </c>
      <c r="E60" s="99"/>
      <c r="F60" s="99"/>
      <c r="G60" s="99"/>
      <c r="H60" s="92"/>
      <c r="I60" s="67"/>
      <c r="J60" s="55" t="s">
        <v>28</v>
      </c>
      <c r="K60" s="55" t="s">
        <v>29</v>
      </c>
      <c r="M60"/>
    </row>
    <row r="61" spans="2:19" ht="26.1">
      <c r="B61" s="66"/>
      <c r="C61" s="67"/>
      <c r="D61" s="67">
        <v>2017</v>
      </c>
      <c r="E61" s="67">
        <v>2018</v>
      </c>
      <c r="F61" s="67">
        <v>2019</v>
      </c>
      <c r="G61" s="67">
        <v>2020</v>
      </c>
      <c r="H61" s="55">
        <v>2021</v>
      </c>
      <c r="I61" s="70" t="s">
        <v>81</v>
      </c>
      <c r="J61" s="55"/>
      <c r="K61" s="55"/>
    </row>
    <row r="62" spans="2:19" ht="15">
      <c r="B62" s="95" t="s">
        <v>97</v>
      </c>
      <c r="C62" s="96"/>
      <c r="D62" s="22">
        <f t="shared" ref="D62:I62" si="8">D12*D14*D16*D18*D20*(1-D22)/(1000*24*1000)*D6*44/28+D13*D15*D17*D19*D21*(1-D23)/(1000*24*1000)*D7*44/28</f>
        <v>2.9557650917142855</v>
      </c>
      <c r="E62" s="22">
        <f t="shared" si="8"/>
        <v>1.9390216937142859</v>
      </c>
      <c r="F62" s="22">
        <f t="shared" si="8"/>
        <v>1.0405807694857143</v>
      </c>
      <c r="G62" s="22">
        <f t="shared" si="8"/>
        <v>1.0405807694857143</v>
      </c>
      <c r="H62" s="22">
        <f t="shared" si="8"/>
        <v>1.0405807694857143</v>
      </c>
      <c r="I62" s="22">
        <f t="shared" si="8"/>
        <v>1.0405807694857143</v>
      </c>
      <c r="J62" s="3" t="s">
        <v>73</v>
      </c>
      <c r="K62" s="3" t="s">
        <v>66</v>
      </c>
      <c r="S62"/>
    </row>
    <row r="63" spans="2:19" ht="15">
      <c r="B63" s="95" t="s">
        <v>98</v>
      </c>
      <c r="C63" s="96"/>
      <c r="D63" s="22">
        <f t="shared" ref="D63:I63" si="9">D12*D14*D16*D18*D20*(1-D22)*D22*D24/(1000*24*1000)*44/28+D13*D15*D17*D19*D21*(1-D23)*D23*D24/(1000*24*1000)*44/28</f>
        <v>1.3584592687285715</v>
      </c>
      <c r="E63" s="22">
        <f t="shared" si="9"/>
        <v>0.8911676301942858</v>
      </c>
      <c r="F63" s="22">
        <f t="shared" si="9"/>
        <v>0.47824757075542856</v>
      </c>
      <c r="G63" s="22">
        <f t="shared" si="9"/>
        <v>0.47824757075542856</v>
      </c>
      <c r="H63" s="22">
        <f t="shared" si="9"/>
        <v>0.47824757075542856</v>
      </c>
      <c r="I63" s="22">
        <f t="shared" si="9"/>
        <v>0.47824757075542856</v>
      </c>
      <c r="J63" s="3" t="s">
        <v>73</v>
      </c>
      <c r="K63" s="3" t="s">
        <v>66</v>
      </c>
    </row>
    <row r="64" spans="2:19" ht="12.95">
      <c r="B64" s="25"/>
      <c r="C64" s="25"/>
      <c r="D64" s="25"/>
      <c r="E64" s="25"/>
      <c r="F64" s="25"/>
      <c r="G64" s="25"/>
      <c r="H64" s="25"/>
      <c r="I64" s="25"/>
      <c r="J64" s="25"/>
      <c r="K64" s="25"/>
    </row>
    <row r="65" spans="2:13" ht="15">
      <c r="B65" s="6" t="s">
        <v>75</v>
      </c>
      <c r="C65" s="6"/>
      <c r="D65" s="6"/>
      <c r="E65" s="6"/>
      <c r="F65" s="6"/>
      <c r="G65" s="6"/>
    </row>
    <row r="66" spans="2:13">
      <c r="B66" s="97"/>
      <c r="C66" s="97"/>
      <c r="D66" s="97"/>
      <c r="E66" s="97"/>
      <c r="F66" s="97"/>
      <c r="G66" s="97"/>
      <c r="H66" s="97"/>
      <c r="I66" s="97"/>
      <c r="J66" s="97"/>
      <c r="K66" s="97"/>
    </row>
    <row r="67" spans="2:13">
      <c r="B67" s="97"/>
      <c r="C67" s="97"/>
      <c r="D67" s="97"/>
      <c r="E67" s="97"/>
      <c r="F67" s="97"/>
      <c r="G67" s="97"/>
      <c r="H67" s="97"/>
      <c r="I67" s="97"/>
      <c r="J67" s="97"/>
      <c r="K67" s="97"/>
    </row>
    <row r="68" spans="2:13">
      <c r="B68" s="98"/>
      <c r="C68" s="98"/>
      <c r="D68" s="98"/>
      <c r="E68" s="98"/>
      <c r="F68" s="98"/>
      <c r="G68" s="98"/>
      <c r="H68" s="98"/>
      <c r="I68" s="98"/>
      <c r="J68" s="98"/>
      <c r="K68" s="98"/>
    </row>
    <row r="69" spans="2:13" ht="12.95">
      <c r="B69" s="100" t="s">
        <v>26</v>
      </c>
      <c r="C69" s="101"/>
      <c r="D69" s="91" t="s">
        <v>27</v>
      </c>
      <c r="E69" s="99"/>
      <c r="F69" s="99"/>
      <c r="G69" s="99"/>
      <c r="H69" s="92"/>
      <c r="I69" s="67"/>
      <c r="J69" s="55" t="s">
        <v>28</v>
      </c>
      <c r="K69" s="55" t="s">
        <v>29</v>
      </c>
    </row>
    <row r="70" spans="2:13" ht="26.1">
      <c r="B70" s="71"/>
      <c r="C70" s="72"/>
      <c r="D70" s="67">
        <v>2017</v>
      </c>
      <c r="E70" s="67">
        <v>2018</v>
      </c>
      <c r="F70" s="67">
        <v>2019</v>
      </c>
      <c r="G70" s="67">
        <v>2020</v>
      </c>
      <c r="H70" s="55">
        <v>2021</v>
      </c>
      <c r="I70" s="70" t="s">
        <v>81</v>
      </c>
      <c r="J70" s="55"/>
      <c r="K70" s="55"/>
    </row>
    <row r="71" spans="2:13" ht="15.6">
      <c r="B71" s="95" t="s">
        <v>99</v>
      </c>
      <c r="C71" s="96"/>
      <c r="D71" s="23">
        <f t="shared" ref="D71:I71" si="10">D4*D10*D12*D18*D20/(24*365*1000)+D4*D11*D13*D19*D21/(24*365*1000)</f>
        <v>1303.334794520548</v>
      </c>
      <c r="E71" s="23">
        <f t="shared" si="10"/>
        <v>855.0049315068494</v>
      </c>
      <c r="F71" s="23">
        <f t="shared" si="10"/>
        <v>458.83945205479461</v>
      </c>
      <c r="G71" s="23">
        <f t="shared" si="10"/>
        <v>458.83945205479461</v>
      </c>
      <c r="H71" s="23">
        <f t="shared" si="10"/>
        <v>458.83945205479461</v>
      </c>
      <c r="I71" s="23">
        <f t="shared" si="10"/>
        <v>458.83945205479461</v>
      </c>
      <c r="J71" s="8" t="s">
        <v>76</v>
      </c>
      <c r="K71" s="3" t="s">
        <v>66</v>
      </c>
    </row>
    <row r="72" spans="2:13">
      <c r="B72" s="7"/>
      <c r="C72" s="7"/>
      <c r="D72" s="7"/>
      <c r="E72" s="7"/>
      <c r="F72" s="7"/>
      <c r="G72" s="7"/>
    </row>
    <row r="73" spans="2:13" ht="15">
      <c r="B73" s="6" t="s">
        <v>100</v>
      </c>
      <c r="C73" s="7"/>
      <c r="D73" s="7"/>
      <c r="E73" s="7"/>
      <c r="F73" s="7"/>
      <c r="G73" s="7"/>
    </row>
    <row r="74" spans="2:13">
      <c r="B74" s="7"/>
      <c r="C74" s="7"/>
      <c r="D74" s="7"/>
      <c r="E74" s="7"/>
      <c r="F74" s="7"/>
      <c r="G74" s="7"/>
    </row>
    <row r="75" spans="2:13">
      <c r="B75" s="7"/>
      <c r="C75" s="7"/>
      <c r="D75" s="7"/>
      <c r="E75" s="7"/>
      <c r="F75" s="7"/>
      <c r="G75" s="7"/>
    </row>
    <row r="76" spans="2:13" ht="14.1">
      <c r="B76" s="7"/>
      <c r="C76" s="7"/>
      <c r="D76" s="7"/>
      <c r="E76" s="7"/>
      <c r="F76" s="7"/>
      <c r="G76" s="7"/>
      <c r="K76"/>
    </row>
    <row r="77" spans="2:13" ht="12.95">
      <c r="B77" s="100" t="s">
        <v>26</v>
      </c>
      <c r="C77" s="101"/>
      <c r="D77" s="91" t="s">
        <v>27</v>
      </c>
      <c r="E77" s="99"/>
      <c r="F77" s="99"/>
      <c r="G77" s="99"/>
      <c r="H77" s="92"/>
      <c r="I77" s="67"/>
      <c r="J77" s="55" t="s">
        <v>28</v>
      </c>
      <c r="K77" s="55" t="s">
        <v>29</v>
      </c>
    </row>
    <row r="78" spans="2:13" ht="26.1">
      <c r="B78" s="71"/>
      <c r="C78" s="72"/>
      <c r="D78" s="67">
        <v>2017</v>
      </c>
      <c r="E78" s="67">
        <v>2018</v>
      </c>
      <c r="F78" s="67">
        <v>2019</v>
      </c>
      <c r="G78" s="67">
        <v>2020</v>
      </c>
      <c r="H78" s="55">
        <v>2021</v>
      </c>
      <c r="I78" s="70" t="s">
        <v>81</v>
      </c>
      <c r="J78" s="55"/>
      <c r="K78" s="55"/>
      <c r="L78" s="2"/>
      <c r="M78" s="2"/>
    </row>
    <row r="79" spans="2:13" ht="15.6">
      <c r="B79" s="95" t="s">
        <v>80</v>
      </c>
      <c r="C79" s="96"/>
      <c r="D79" s="22">
        <f>ROUND(D25*D26*D27/1000,0)</f>
        <v>1282</v>
      </c>
      <c r="E79" s="22">
        <f t="shared" ref="E79:I79" si="11">ROUND(E25*E26*E27/1000,0)</f>
        <v>1656</v>
      </c>
      <c r="F79" s="22">
        <f t="shared" si="11"/>
        <v>1129</v>
      </c>
      <c r="G79" s="22">
        <f t="shared" si="11"/>
        <v>0</v>
      </c>
      <c r="H79" s="22">
        <f t="shared" si="11"/>
        <v>0</v>
      </c>
      <c r="I79" s="22">
        <f t="shared" si="11"/>
        <v>0</v>
      </c>
      <c r="J79" s="8" t="s">
        <v>76</v>
      </c>
      <c r="K79" s="3" t="s">
        <v>101</v>
      </c>
      <c r="L79" s="2"/>
      <c r="M79" s="2"/>
    </row>
    <row r="80" spans="2:13">
      <c r="L80" s="2"/>
      <c r="M80" s="2"/>
    </row>
    <row r="81" spans="12:13">
      <c r="L81" s="2"/>
      <c r="M81" s="2"/>
    </row>
    <row r="82" spans="12:13">
      <c r="L82" s="2"/>
      <c r="M82" s="2"/>
    </row>
    <row r="83" spans="12:13">
      <c r="L83" s="2"/>
      <c r="M83" s="2"/>
    </row>
    <row r="84" spans="12:13">
      <c r="L84" s="2"/>
      <c r="M84" s="2"/>
    </row>
  </sheetData>
  <mergeCells count="37">
    <mergeCell ref="D77:H77"/>
    <mergeCell ref="B79:C79"/>
    <mergeCell ref="D69:H69"/>
    <mergeCell ref="B77:C77"/>
    <mergeCell ref="B63:C63"/>
    <mergeCell ref="B66:K68"/>
    <mergeCell ref="B69:C69"/>
    <mergeCell ref="B71:C71"/>
    <mergeCell ref="D2:H2"/>
    <mergeCell ref="B24:C24"/>
    <mergeCell ref="D60:H60"/>
    <mergeCell ref="D45:H45"/>
    <mergeCell ref="D33:H33"/>
    <mergeCell ref="B45:C45"/>
    <mergeCell ref="B47:C47"/>
    <mergeCell ref="B50:K55"/>
    <mergeCell ref="B57:K59"/>
    <mergeCell ref="B60:C60"/>
    <mergeCell ref="B10:B11"/>
    <mergeCell ref="B12:B13"/>
    <mergeCell ref="B14:B15"/>
    <mergeCell ref="B16:B17"/>
    <mergeCell ref="B18:B19"/>
    <mergeCell ref="B20:B21"/>
    <mergeCell ref="B62:C62"/>
    <mergeCell ref="B22:B23"/>
    <mergeCell ref="B30:K32"/>
    <mergeCell ref="B33:C33"/>
    <mergeCell ref="B35:C35"/>
    <mergeCell ref="B38:K40"/>
    <mergeCell ref="B42:K44"/>
    <mergeCell ref="B8:B9"/>
    <mergeCell ref="B2:C2"/>
    <mergeCell ref="B4:C4"/>
    <mergeCell ref="B5:C5"/>
    <mergeCell ref="B6:C6"/>
    <mergeCell ref="B7:C7"/>
  </mergeCells>
  <phoneticPr fontId="2" type="noConversion"/>
  <pageMargins left="0.7" right="0.7" top="0.75" bottom="0.75" header="0.3" footer="0.3"/>
  <pageSetup paperSize="9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6684A-0913-43CC-A2EA-CEC94F95ACBA}">
  <dimension ref="A2:R84"/>
  <sheetViews>
    <sheetView zoomScaleNormal="100" workbookViewId="0">
      <selection activeCell="K6" sqref="K6"/>
    </sheetView>
  </sheetViews>
  <sheetFormatPr defaultColWidth="8.875" defaultRowHeight="12.6"/>
  <cols>
    <col min="1" max="1" width="2.875" style="2" customWidth="1"/>
    <col min="2" max="2" width="10.125" style="2" customWidth="1"/>
    <col min="3" max="7" width="7.875" style="2" customWidth="1"/>
    <col min="8" max="9" width="8.875" style="7" customWidth="1"/>
    <col min="10" max="10" width="24.875" style="7" customWidth="1"/>
    <col min="11" max="11" width="35.25" style="7" customWidth="1"/>
    <col min="12" max="12" width="8.125" style="7" customWidth="1"/>
    <col min="13" max="13" width="9.875" style="7" customWidth="1"/>
    <col min="14" max="14" width="11.625" style="7" customWidth="1"/>
    <col min="15" max="16" width="11" style="7" customWidth="1"/>
    <col min="17" max="16384" width="8.875" style="7"/>
  </cols>
  <sheetData>
    <row r="2" spans="2:17" ht="15">
      <c r="B2" s="91" t="s">
        <v>26</v>
      </c>
      <c r="C2" s="92"/>
      <c r="D2" s="91" t="s">
        <v>27</v>
      </c>
      <c r="E2" s="99"/>
      <c r="F2" s="99"/>
      <c r="G2" s="99"/>
      <c r="H2" s="92"/>
      <c r="I2" s="67"/>
      <c r="J2" s="55" t="s">
        <v>28</v>
      </c>
      <c r="K2" s="55" t="s">
        <v>29</v>
      </c>
      <c r="M2" s="68" t="s">
        <v>15</v>
      </c>
      <c r="N2" s="56" t="s">
        <v>102</v>
      </c>
      <c r="O2" s="56" t="s">
        <v>103</v>
      </c>
      <c r="P2" s="56" t="s">
        <v>104</v>
      </c>
      <c r="Q2" s="56" t="s">
        <v>18</v>
      </c>
    </row>
    <row r="3" spans="2:17" ht="26.1">
      <c r="B3" s="66"/>
      <c r="C3" s="67"/>
      <c r="D3" s="67">
        <v>2017</v>
      </c>
      <c r="E3" s="67">
        <v>2018</v>
      </c>
      <c r="F3" s="67">
        <v>2019</v>
      </c>
      <c r="G3" s="67">
        <v>2020</v>
      </c>
      <c r="H3" s="55">
        <v>2021</v>
      </c>
      <c r="I3" s="70" t="s">
        <v>81</v>
      </c>
      <c r="J3" s="55"/>
      <c r="K3" s="55"/>
      <c r="M3" s="69"/>
      <c r="N3" s="57" t="s">
        <v>23</v>
      </c>
      <c r="O3" s="57" t="s">
        <v>23</v>
      </c>
      <c r="P3" s="57" t="s">
        <v>23</v>
      </c>
      <c r="Q3" s="57" t="s">
        <v>23</v>
      </c>
    </row>
    <row r="4" spans="2:17" ht="15.6">
      <c r="B4" s="93" t="s">
        <v>33</v>
      </c>
      <c r="C4" s="94"/>
      <c r="D4" s="11">
        <v>28</v>
      </c>
      <c r="E4" s="11">
        <v>28</v>
      </c>
      <c r="F4" s="11">
        <v>28</v>
      </c>
      <c r="G4" s="11">
        <v>28</v>
      </c>
      <c r="H4" s="11">
        <v>28</v>
      </c>
      <c r="I4" s="11">
        <v>28</v>
      </c>
      <c r="J4" s="26" t="s">
        <v>34</v>
      </c>
      <c r="K4" s="1" t="s">
        <v>35</v>
      </c>
      <c r="M4" s="3">
        <v>2017</v>
      </c>
      <c r="N4" s="10">
        <f>ROUND($D$44,0)</f>
        <v>22836</v>
      </c>
      <c r="O4" s="10">
        <f>ROUND($D$56,0)</f>
        <v>245</v>
      </c>
      <c r="P4" s="10">
        <f>ROUND($D$80,0)</f>
        <v>279</v>
      </c>
      <c r="Q4" s="10">
        <f>SUM(N4:P4)</f>
        <v>23360</v>
      </c>
    </row>
    <row r="5" spans="2:17" ht="15">
      <c r="B5" s="93" t="s">
        <v>36</v>
      </c>
      <c r="C5" s="94"/>
      <c r="D5" s="3">
        <v>265</v>
      </c>
      <c r="E5" s="3">
        <v>265</v>
      </c>
      <c r="F5" s="3">
        <v>265</v>
      </c>
      <c r="G5" s="3">
        <v>265</v>
      </c>
      <c r="H5" s="3">
        <v>265</v>
      </c>
      <c r="I5" s="3">
        <v>265</v>
      </c>
      <c r="J5" s="27" t="s">
        <v>37</v>
      </c>
      <c r="K5" s="1" t="s">
        <v>35</v>
      </c>
      <c r="M5" s="3">
        <v>2018</v>
      </c>
      <c r="N5" s="10">
        <f>ROUND($E$44,0)</f>
        <v>59469</v>
      </c>
      <c r="O5" s="10">
        <f>ROUND($E$56,0)</f>
        <v>638</v>
      </c>
      <c r="P5" s="10">
        <f>ROUND($E$80,0)</f>
        <v>728</v>
      </c>
      <c r="Q5" s="10">
        <f t="shared" ref="Q5:Q43" si="0">N5+O5+P5</f>
        <v>60835</v>
      </c>
    </row>
    <row r="6" spans="2:17" ht="15.6">
      <c r="B6" s="93" t="s">
        <v>38</v>
      </c>
      <c r="C6" s="94"/>
      <c r="D6" s="3">
        <v>2E-3</v>
      </c>
      <c r="E6" s="3">
        <v>2E-3</v>
      </c>
      <c r="F6" s="3">
        <v>2E-3</v>
      </c>
      <c r="G6" s="3">
        <v>2E-3</v>
      </c>
      <c r="H6" s="3">
        <v>2E-3</v>
      </c>
      <c r="I6" s="3">
        <v>2E-3</v>
      </c>
      <c r="J6" s="26" t="s">
        <v>39</v>
      </c>
      <c r="K6" s="1" t="s">
        <v>40</v>
      </c>
      <c r="M6" s="3">
        <v>2019</v>
      </c>
      <c r="N6" s="10">
        <f>ROUND($F$44,0)</f>
        <v>91838</v>
      </c>
      <c r="O6" s="10">
        <f>ROUND($F$56,0)</f>
        <v>986</v>
      </c>
      <c r="P6" s="10">
        <f>ROUND($F$80,0)</f>
        <v>1124</v>
      </c>
      <c r="Q6" s="10">
        <f t="shared" si="0"/>
        <v>93948</v>
      </c>
    </row>
    <row r="7" spans="2:17" ht="15.6">
      <c r="B7" s="93" t="s">
        <v>41</v>
      </c>
      <c r="C7" s="94"/>
      <c r="D7" s="3">
        <v>3.0000000000000001E-3</v>
      </c>
      <c r="E7" s="3">
        <v>3.0000000000000001E-3</v>
      </c>
      <c r="F7" s="3">
        <v>3.0000000000000001E-3</v>
      </c>
      <c r="G7" s="3">
        <v>3.0000000000000001E-3</v>
      </c>
      <c r="H7" s="3">
        <v>3.0000000000000001E-3</v>
      </c>
      <c r="I7" s="3">
        <v>3.0000000000000001E-3</v>
      </c>
      <c r="J7" s="26" t="s">
        <v>39</v>
      </c>
      <c r="K7" s="1" t="s">
        <v>40</v>
      </c>
      <c r="M7" s="3">
        <v>2020</v>
      </c>
      <c r="N7" s="10">
        <f>ROUND($G$44,0)</f>
        <v>91838</v>
      </c>
      <c r="O7" s="10">
        <f>ROUND($G$56,0)</f>
        <v>986</v>
      </c>
      <c r="P7" s="10">
        <f>ROUND($G$80,0)</f>
        <v>1124</v>
      </c>
      <c r="Q7" s="10">
        <f t="shared" si="0"/>
        <v>93948</v>
      </c>
    </row>
    <row r="8" spans="2:17" ht="15.6">
      <c r="B8" s="89" t="s">
        <v>42</v>
      </c>
      <c r="C8" s="9" t="s">
        <v>43</v>
      </c>
      <c r="D8" s="11">
        <v>56</v>
      </c>
      <c r="E8" s="11">
        <v>56</v>
      </c>
      <c r="F8" s="11">
        <v>56</v>
      </c>
      <c r="G8" s="11">
        <v>56</v>
      </c>
      <c r="H8" s="11">
        <v>56</v>
      </c>
      <c r="I8" s="11">
        <v>56</v>
      </c>
      <c r="J8" s="26" t="s">
        <v>44</v>
      </c>
      <c r="K8" s="1" t="s">
        <v>40</v>
      </c>
      <c r="M8" s="3">
        <v>2021</v>
      </c>
      <c r="N8" s="10">
        <f>ROUND($H$44,0)</f>
        <v>91838</v>
      </c>
      <c r="O8" s="10">
        <f>ROUND($H$56,0)</f>
        <v>986</v>
      </c>
      <c r="P8" s="10">
        <f>ROUND($H$80,0)</f>
        <v>1124</v>
      </c>
      <c r="Q8" s="10">
        <f t="shared" si="0"/>
        <v>93948</v>
      </c>
    </row>
    <row r="9" spans="2:17" ht="15.6">
      <c r="B9" s="90"/>
      <c r="C9" s="9" t="s">
        <v>45</v>
      </c>
      <c r="D9" s="11">
        <v>5</v>
      </c>
      <c r="E9" s="11">
        <v>5</v>
      </c>
      <c r="F9" s="11">
        <v>5</v>
      </c>
      <c r="G9" s="11">
        <v>5</v>
      </c>
      <c r="H9" s="11">
        <v>5</v>
      </c>
      <c r="I9" s="11">
        <v>5</v>
      </c>
      <c r="J9" s="26" t="s">
        <v>44</v>
      </c>
      <c r="K9" s="1" t="s">
        <v>40</v>
      </c>
      <c r="M9" s="3">
        <v>2022</v>
      </c>
      <c r="N9" s="10">
        <f t="shared" ref="N9:N43" si="1">ROUND($I$44,0)</f>
        <v>91838</v>
      </c>
      <c r="O9" s="10">
        <f t="shared" ref="O9:O43" si="2">ROUND($I$56,0)</f>
        <v>986</v>
      </c>
      <c r="P9" s="10">
        <f t="shared" ref="P9:P43" si="3">ROUND($I$80,0)</f>
        <v>1124</v>
      </c>
      <c r="Q9" s="10">
        <f t="shared" si="0"/>
        <v>93948</v>
      </c>
    </row>
    <row r="10" spans="2:17" ht="15.6">
      <c r="B10" s="89" t="s">
        <v>46</v>
      </c>
      <c r="C10" s="9" t="s">
        <v>43</v>
      </c>
      <c r="D10" s="3">
        <v>0.6</v>
      </c>
      <c r="E10" s="3">
        <v>0.6</v>
      </c>
      <c r="F10" s="3">
        <v>0.6</v>
      </c>
      <c r="G10" s="3">
        <v>0.6</v>
      </c>
      <c r="H10" s="3">
        <v>0.6</v>
      </c>
      <c r="I10" s="3">
        <v>0.6</v>
      </c>
      <c r="J10" s="28" t="s">
        <v>47</v>
      </c>
      <c r="K10" s="1" t="s">
        <v>40</v>
      </c>
      <c r="M10" s="3">
        <v>2023</v>
      </c>
      <c r="N10" s="10">
        <f t="shared" si="1"/>
        <v>91838</v>
      </c>
      <c r="O10" s="10">
        <f t="shared" si="2"/>
        <v>986</v>
      </c>
      <c r="P10" s="10">
        <f t="shared" si="3"/>
        <v>1124</v>
      </c>
      <c r="Q10" s="10">
        <f t="shared" si="0"/>
        <v>93948</v>
      </c>
    </row>
    <row r="11" spans="2:17" ht="15.6" customHeight="1">
      <c r="B11" s="90"/>
      <c r="C11" s="9" t="s">
        <v>45</v>
      </c>
      <c r="D11" s="3">
        <v>0.6</v>
      </c>
      <c r="E11" s="3">
        <v>0.6</v>
      </c>
      <c r="F11" s="3">
        <v>0.6</v>
      </c>
      <c r="G11" s="3">
        <v>0.6</v>
      </c>
      <c r="H11" s="3">
        <v>0.6</v>
      </c>
      <c r="I11" s="3">
        <v>0.6</v>
      </c>
      <c r="J11" s="28" t="s">
        <v>47</v>
      </c>
      <c r="K11" s="1" t="s">
        <v>40</v>
      </c>
      <c r="M11" s="3">
        <v>2024</v>
      </c>
      <c r="N11" s="10">
        <f t="shared" si="1"/>
        <v>91838</v>
      </c>
      <c r="O11" s="10">
        <f t="shared" si="2"/>
        <v>986</v>
      </c>
      <c r="P11" s="10">
        <f t="shared" si="3"/>
        <v>1124</v>
      </c>
      <c r="Q11" s="10">
        <f t="shared" si="0"/>
        <v>93948</v>
      </c>
    </row>
    <row r="12" spans="2:17" ht="12.95">
      <c r="B12" s="89" t="s">
        <v>105</v>
      </c>
      <c r="C12" s="9" t="s">
        <v>43</v>
      </c>
      <c r="D12" s="14">
        <v>32409</v>
      </c>
      <c r="E12" s="14">
        <v>84396</v>
      </c>
      <c r="F12" s="14">
        <v>130334</v>
      </c>
      <c r="G12" s="14">
        <v>130334</v>
      </c>
      <c r="H12" s="14">
        <v>130334</v>
      </c>
      <c r="I12" s="14">
        <v>130334</v>
      </c>
      <c r="J12" s="26" t="s">
        <v>49</v>
      </c>
      <c r="K12" s="65" t="s">
        <v>50</v>
      </c>
      <c r="M12" s="3">
        <v>2025</v>
      </c>
      <c r="N12" s="10">
        <f t="shared" si="1"/>
        <v>91838</v>
      </c>
      <c r="O12" s="10">
        <f t="shared" si="2"/>
        <v>986</v>
      </c>
      <c r="P12" s="10">
        <f t="shared" si="3"/>
        <v>1124</v>
      </c>
      <c r="Q12" s="10">
        <f t="shared" si="0"/>
        <v>93948</v>
      </c>
    </row>
    <row r="13" spans="2:17" ht="15.6" customHeight="1">
      <c r="B13" s="90"/>
      <c r="C13" s="9" t="s">
        <v>45</v>
      </c>
      <c r="D13" s="14">
        <v>113323</v>
      </c>
      <c r="E13" s="14">
        <v>295108</v>
      </c>
      <c r="F13" s="14">
        <v>455742</v>
      </c>
      <c r="G13" s="14">
        <v>455742</v>
      </c>
      <c r="H13" s="14">
        <v>455742</v>
      </c>
      <c r="I13" s="14">
        <v>455742</v>
      </c>
      <c r="J13" s="26" t="s">
        <v>49</v>
      </c>
      <c r="K13" s="65" t="s">
        <v>50</v>
      </c>
      <c r="M13" s="3">
        <v>2026</v>
      </c>
      <c r="N13" s="10">
        <f t="shared" si="1"/>
        <v>91838</v>
      </c>
      <c r="O13" s="10">
        <f t="shared" si="2"/>
        <v>986</v>
      </c>
      <c r="P13" s="10">
        <f t="shared" si="3"/>
        <v>1124</v>
      </c>
      <c r="Q13" s="10">
        <f t="shared" si="0"/>
        <v>93948</v>
      </c>
    </row>
    <row r="14" spans="2:17" ht="12.95">
      <c r="B14" s="89" t="s">
        <v>51</v>
      </c>
      <c r="C14" s="9" t="s">
        <v>43</v>
      </c>
      <c r="D14" s="3">
        <v>300</v>
      </c>
      <c r="E14" s="3">
        <v>300</v>
      </c>
      <c r="F14" s="3">
        <v>300</v>
      </c>
      <c r="G14" s="3">
        <v>300</v>
      </c>
      <c r="H14" s="3">
        <v>300</v>
      </c>
      <c r="I14" s="3">
        <v>300</v>
      </c>
      <c r="J14" s="26" t="s">
        <v>52</v>
      </c>
      <c r="K14" s="65" t="s">
        <v>53</v>
      </c>
      <c r="M14" s="3">
        <v>2027</v>
      </c>
      <c r="N14" s="10">
        <f t="shared" si="1"/>
        <v>91838</v>
      </c>
      <c r="O14" s="10">
        <f t="shared" si="2"/>
        <v>986</v>
      </c>
      <c r="P14" s="10">
        <f t="shared" si="3"/>
        <v>1124</v>
      </c>
      <c r="Q14" s="10">
        <f t="shared" si="0"/>
        <v>93948</v>
      </c>
    </row>
    <row r="15" spans="2:17" ht="15.6" customHeight="1">
      <c r="B15" s="90"/>
      <c r="C15" s="9" t="s">
        <v>45</v>
      </c>
      <c r="D15" s="3">
        <v>45</v>
      </c>
      <c r="E15" s="3">
        <v>45</v>
      </c>
      <c r="F15" s="3">
        <v>45</v>
      </c>
      <c r="G15" s="3">
        <v>45</v>
      </c>
      <c r="H15" s="3">
        <v>45</v>
      </c>
      <c r="I15" s="3">
        <v>45</v>
      </c>
      <c r="J15" s="26" t="s">
        <v>52</v>
      </c>
      <c r="K15" s="65" t="s">
        <v>53</v>
      </c>
      <c r="M15" s="3">
        <v>2028</v>
      </c>
      <c r="N15" s="10">
        <f t="shared" si="1"/>
        <v>91838</v>
      </c>
      <c r="O15" s="10">
        <f t="shared" si="2"/>
        <v>986</v>
      </c>
      <c r="P15" s="10">
        <f t="shared" si="3"/>
        <v>1124</v>
      </c>
      <c r="Q15" s="10">
        <f t="shared" si="0"/>
        <v>93948</v>
      </c>
    </row>
    <row r="16" spans="2:17" ht="12.95">
      <c r="B16" s="89" t="s">
        <v>54</v>
      </c>
      <c r="C16" s="9" t="s">
        <v>43</v>
      </c>
      <c r="D16" s="3">
        <v>0.38</v>
      </c>
      <c r="E16" s="3">
        <v>0.38</v>
      </c>
      <c r="F16" s="3">
        <v>0.38</v>
      </c>
      <c r="G16" s="3">
        <v>0.38</v>
      </c>
      <c r="H16" s="3">
        <v>0.38</v>
      </c>
      <c r="I16" s="3">
        <v>0.38</v>
      </c>
      <c r="J16" s="26" t="s">
        <v>55</v>
      </c>
      <c r="K16" s="1" t="s">
        <v>40</v>
      </c>
      <c r="M16" s="3">
        <v>2029</v>
      </c>
      <c r="N16" s="10">
        <f t="shared" si="1"/>
        <v>91838</v>
      </c>
      <c r="O16" s="10">
        <f t="shared" si="2"/>
        <v>986</v>
      </c>
      <c r="P16" s="10">
        <f t="shared" si="3"/>
        <v>1124</v>
      </c>
      <c r="Q16" s="10">
        <f t="shared" si="0"/>
        <v>93948</v>
      </c>
    </row>
    <row r="17" spans="2:18" ht="15.6" customHeight="1">
      <c r="B17" s="90"/>
      <c r="C17" s="9" t="s">
        <v>45</v>
      </c>
      <c r="D17" s="3">
        <v>0.32</v>
      </c>
      <c r="E17" s="3">
        <v>0.32</v>
      </c>
      <c r="F17" s="3">
        <v>0.32</v>
      </c>
      <c r="G17" s="3">
        <v>0.32</v>
      </c>
      <c r="H17" s="3">
        <v>0.32</v>
      </c>
      <c r="I17" s="3">
        <v>0.32</v>
      </c>
      <c r="J17" s="26" t="s">
        <v>55</v>
      </c>
      <c r="K17" s="1" t="s">
        <v>40</v>
      </c>
      <c r="M17" s="3">
        <v>2030</v>
      </c>
      <c r="N17" s="10">
        <f t="shared" si="1"/>
        <v>91838</v>
      </c>
      <c r="O17" s="10">
        <f t="shared" si="2"/>
        <v>986</v>
      </c>
      <c r="P17" s="10">
        <f t="shared" si="3"/>
        <v>1124</v>
      </c>
      <c r="Q17" s="10">
        <f t="shared" si="0"/>
        <v>93948</v>
      </c>
      <c r="R17"/>
    </row>
    <row r="18" spans="2:18" ht="14.1">
      <c r="B18" s="89" t="s">
        <v>56</v>
      </c>
      <c r="C18" s="9" t="s">
        <v>43</v>
      </c>
      <c r="D18" s="11">
        <v>8</v>
      </c>
      <c r="E18" s="11">
        <v>8</v>
      </c>
      <c r="F18" s="11">
        <v>8</v>
      </c>
      <c r="G18" s="11">
        <v>8</v>
      </c>
      <c r="H18" s="11">
        <v>8</v>
      </c>
      <c r="I18" s="11">
        <v>8</v>
      </c>
      <c r="J18" s="26" t="s">
        <v>57</v>
      </c>
      <c r="K18" s="65" t="s">
        <v>50</v>
      </c>
      <c r="M18" s="3">
        <v>2031</v>
      </c>
      <c r="N18" s="10">
        <f t="shared" si="1"/>
        <v>91838</v>
      </c>
      <c r="O18" s="10">
        <f t="shared" si="2"/>
        <v>986</v>
      </c>
      <c r="P18" s="10">
        <f t="shared" si="3"/>
        <v>1124</v>
      </c>
      <c r="Q18" s="10">
        <f t="shared" si="0"/>
        <v>93948</v>
      </c>
      <c r="R18"/>
    </row>
    <row r="19" spans="2:18" ht="15.6" customHeight="1">
      <c r="B19" s="90"/>
      <c r="C19" s="9" t="s">
        <v>45</v>
      </c>
      <c r="D19" s="11">
        <v>8</v>
      </c>
      <c r="E19" s="11">
        <v>8</v>
      </c>
      <c r="F19" s="11">
        <v>8</v>
      </c>
      <c r="G19" s="11">
        <v>8</v>
      </c>
      <c r="H19" s="11">
        <v>8</v>
      </c>
      <c r="I19" s="11">
        <v>8</v>
      </c>
      <c r="J19" s="26" t="s">
        <v>57</v>
      </c>
      <c r="K19" s="65" t="s">
        <v>50</v>
      </c>
      <c r="M19" s="3">
        <v>2032</v>
      </c>
      <c r="N19" s="10">
        <f t="shared" si="1"/>
        <v>91838</v>
      </c>
      <c r="O19" s="10">
        <f t="shared" si="2"/>
        <v>986</v>
      </c>
      <c r="P19" s="10">
        <f t="shared" si="3"/>
        <v>1124</v>
      </c>
      <c r="Q19" s="10">
        <f t="shared" si="0"/>
        <v>93948</v>
      </c>
    </row>
    <row r="20" spans="2:18" ht="12.95">
      <c r="B20" s="89" t="s">
        <v>106</v>
      </c>
      <c r="C20" s="9" t="s">
        <v>43</v>
      </c>
      <c r="D20" s="11">
        <v>125</v>
      </c>
      <c r="E20" s="11">
        <v>125</v>
      </c>
      <c r="F20" s="11">
        <v>125</v>
      </c>
      <c r="G20" s="11">
        <v>125</v>
      </c>
      <c r="H20" s="11">
        <v>125</v>
      </c>
      <c r="I20" s="11">
        <v>125</v>
      </c>
      <c r="J20" s="26" t="s">
        <v>59</v>
      </c>
      <c r="K20" s="65" t="s">
        <v>50</v>
      </c>
      <c r="M20" s="3">
        <v>2033</v>
      </c>
      <c r="N20" s="10">
        <f t="shared" si="1"/>
        <v>91838</v>
      </c>
      <c r="O20" s="10">
        <f t="shared" si="2"/>
        <v>986</v>
      </c>
      <c r="P20" s="10">
        <f t="shared" si="3"/>
        <v>1124</v>
      </c>
      <c r="Q20" s="10">
        <f t="shared" si="0"/>
        <v>93948</v>
      </c>
    </row>
    <row r="21" spans="2:18" ht="15.6" customHeight="1">
      <c r="B21" s="90"/>
      <c r="C21" s="9" t="s">
        <v>45</v>
      </c>
      <c r="D21" s="11">
        <v>125</v>
      </c>
      <c r="E21" s="11">
        <v>125</v>
      </c>
      <c r="F21" s="11">
        <v>125</v>
      </c>
      <c r="G21" s="11">
        <v>125</v>
      </c>
      <c r="H21" s="11">
        <v>125</v>
      </c>
      <c r="I21" s="11">
        <v>125</v>
      </c>
      <c r="J21" s="26" t="s">
        <v>59</v>
      </c>
      <c r="K21" s="65" t="s">
        <v>50</v>
      </c>
      <c r="M21" s="3">
        <v>2034</v>
      </c>
      <c r="N21" s="10">
        <f t="shared" si="1"/>
        <v>91838</v>
      </c>
      <c r="O21" s="10">
        <f t="shared" si="2"/>
        <v>986</v>
      </c>
      <c r="P21" s="10">
        <f t="shared" si="3"/>
        <v>1124</v>
      </c>
      <c r="Q21" s="10">
        <f t="shared" si="0"/>
        <v>93948</v>
      </c>
    </row>
    <row r="22" spans="2:18" ht="15.6" customHeight="1">
      <c r="B22" s="89" t="s">
        <v>60</v>
      </c>
      <c r="C22" s="9" t="s">
        <v>43</v>
      </c>
      <c r="D22" s="3">
        <v>0.21199999999999999</v>
      </c>
      <c r="E22" s="3">
        <v>0.21199999999999999</v>
      </c>
      <c r="F22" s="3">
        <v>0.21199999999999999</v>
      </c>
      <c r="G22" s="3">
        <v>0.21199999999999999</v>
      </c>
      <c r="H22" s="3">
        <v>0.21199999999999999</v>
      </c>
      <c r="I22" s="3">
        <v>0.21199999999999999</v>
      </c>
      <c r="J22" s="26" t="s">
        <v>61</v>
      </c>
      <c r="K22" s="1" t="s">
        <v>40</v>
      </c>
      <c r="M22" s="3">
        <v>2035</v>
      </c>
      <c r="N22" s="10">
        <f t="shared" si="1"/>
        <v>91838</v>
      </c>
      <c r="O22" s="10">
        <f t="shared" si="2"/>
        <v>986</v>
      </c>
      <c r="P22" s="10">
        <f t="shared" si="3"/>
        <v>1124</v>
      </c>
      <c r="Q22" s="10">
        <f t="shared" si="0"/>
        <v>93948</v>
      </c>
    </row>
    <row r="23" spans="2:18" ht="12.95">
      <c r="B23" s="90"/>
      <c r="C23" s="9" t="s">
        <v>45</v>
      </c>
      <c r="D23" s="3">
        <v>0.21199999999999999</v>
      </c>
      <c r="E23" s="3">
        <v>0.21199999999999999</v>
      </c>
      <c r="F23" s="3">
        <v>0.21199999999999999</v>
      </c>
      <c r="G23" s="3">
        <v>0.21199999999999999</v>
      </c>
      <c r="H23" s="3">
        <v>0.21199999999999999</v>
      </c>
      <c r="I23" s="3">
        <v>0.21199999999999999</v>
      </c>
      <c r="J23" s="26" t="s">
        <v>61</v>
      </c>
      <c r="K23" s="1" t="s">
        <v>40</v>
      </c>
      <c r="M23" s="3">
        <v>2036</v>
      </c>
      <c r="N23" s="10">
        <f t="shared" si="1"/>
        <v>91838</v>
      </c>
      <c r="O23" s="10">
        <f t="shared" si="2"/>
        <v>986</v>
      </c>
      <c r="P23" s="10">
        <f t="shared" si="3"/>
        <v>1124</v>
      </c>
      <c r="Q23" s="10">
        <f t="shared" si="0"/>
        <v>93948</v>
      </c>
    </row>
    <row r="24" spans="2:18" ht="15.6" customHeight="1">
      <c r="B24" s="89" t="s">
        <v>107</v>
      </c>
      <c r="C24" s="9" t="s">
        <v>43</v>
      </c>
      <c r="D24" s="3">
        <v>8.1</v>
      </c>
      <c r="E24" s="3">
        <v>8.1</v>
      </c>
      <c r="F24" s="3">
        <v>8.1</v>
      </c>
      <c r="G24" s="3">
        <v>8.1</v>
      </c>
      <c r="H24" s="3">
        <v>8.1</v>
      </c>
      <c r="I24" s="3">
        <v>8.1</v>
      </c>
      <c r="J24" s="27" t="s">
        <v>108</v>
      </c>
      <c r="K24" s="73" t="s">
        <v>109</v>
      </c>
      <c r="M24" s="3">
        <v>2037</v>
      </c>
      <c r="N24" s="10">
        <f t="shared" si="1"/>
        <v>91838</v>
      </c>
      <c r="O24" s="10">
        <f t="shared" si="2"/>
        <v>986</v>
      </c>
      <c r="P24" s="10">
        <f t="shared" si="3"/>
        <v>1124</v>
      </c>
      <c r="Q24" s="10">
        <f t="shared" si="0"/>
        <v>93948</v>
      </c>
    </row>
    <row r="25" spans="2:18" ht="12.95">
      <c r="B25" s="90"/>
      <c r="C25" s="9" t="s">
        <v>45</v>
      </c>
      <c r="D25" s="3">
        <v>1.8</v>
      </c>
      <c r="E25" s="3">
        <v>1.8</v>
      </c>
      <c r="F25" s="3">
        <v>1.8</v>
      </c>
      <c r="G25" s="3">
        <v>1.8</v>
      </c>
      <c r="H25" s="3">
        <v>1.8</v>
      </c>
      <c r="I25" s="3">
        <v>1.8</v>
      </c>
      <c r="J25" s="27" t="s">
        <v>108</v>
      </c>
      <c r="K25" s="73" t="s">
        <v>109</v>
      </c>
      <c r="M25" s="3">
        <v>2038</v>
      </c>
      <c r="N25" s="10">
        <f t="shared" si="1"/>
        <v>91838</v>
      </c>
      <c r="O25" s="10">
        <f t="shared" si="2"/>
        <v>986</v>
      </c>
      <c r="P25" s="10">
        <f t="shared" si="3"/>
        <v>1124</v>
      </c>
      <c r="Q25" s="10">
        <f t="shared" si="0"/>
        <v>93948</v>
      </c>
    </row>
    <row r="26" spans="2:18" ht="15">
      <c r="B26" s="9" t="s">
        <v>110</v>
      </c>
      <c r="C26" s="60"/>
      <c r="D26" s="3">
        <v>1.38</v>
      </c>
      <c r="E26" s="3">
        <v>1.38</v>
      </c>
      <c r="F26" s="3">
        <v>1.38</v>
      </c>
      <c r="G26" s="3">
        <v>1.38</v>
      </c>
      <c r="H26" s="3">
        <v>1.38</v>
      </c>
      <c r="I26" s="3">
        <v>1.38</v>
      </c>
      <c r="J26" s="27" t="s">
        <v>111</v>
      </c>
      <c r="K26" s="65" t="s">
        <v>112</v>
      </c>
      <c r="M26" s="3">
        <v>2040</v>
      </c>
      <c r="N26" s="10">
        <f t="shared" si="1"/>
        <v>91838</v>
      </c>
      <c r="O26" s="10">
        <f t="shared" si="2"/>
        <v>986</v>
      </c>
      <c r="P26" s="10">
        <f t="shared" si="3"/>
        <v>1124</v>
      </c>
      <c r="Q26" s="10">
        <f>N26+O26+P26</f>
        <v>93948</v>
      </c>
    </row>
    <row r="27" spans="2:18" ht="15">
      <c r="B27" s="93" t="s">
        <v>63</v>
      </c>
      <c r="C27" s="94"/>
      <c r="D27" s="3">
        <v>5.0000000000000001E-3</v>
      </c>
      <c r="E27" s="3">
        <v>5.0000000000000001E-3</v>
      </c>
      <c r="F27" s="3">
        <v>5.0000000000000001E-3</v>
      </c>
      <c r="G27" s="3">
        <v>5.0000000000000001E-3</v>
      </c>
      <c r="H27" s="3">
        <v>5.0000000000000001E-3</v>
      </c>
      <c r="I27" s="3">
        <v>5.0000000000000001E-3</v>
      </c>
      <c r="J27" s="27" t="s">
        <v>64</v>
      </c>
      <c r="K27" s="1" t="s">
        <v>40</v>
      </c>
      <c r="M27" s="3">
        <v>2039</v>
      </c>
      <c r="N27" s="10">
        <f t="shared" si="1"/>
        <v>91838</v>
      </c>
      <c r="O27" s="10">
        <f t="shared" si="2"/>
        <v>986</v>
      </c>
      <c r="P27" s="10">
        <f t="shared" si="3"/>
        <v>1124</v>
      </c>
      <c r="Q27" s="10">
        <f t="shared" si="0"/>
        <v>93948</v>
      </c>
    </row>
    <row r="28" spans="2:18" ht="14.1">
      <c r="M28" s="3">
        <v>2041</v>
      </c>
      <c r="N28" s="10">
        <f t="shared" si="1"/>
        <v>91838</v>
      </c>
      <c r="O28" s="10">
        <f t="shared" si="2"/>
        <v>986</v>
      </c>
      <c r="P28" s="10">
        <f t="shared" si="3"/>
        <v>1124</v>
      </c>
      <c r="Q28" s="10">
        <f t="shared" si="0"/>
        <v>93948</v>
      </c>
      <c r="R28"/>
    </row>
    <row r="29" spans="2:18" ht="12.95">
      <c r="B29" s="61" t="s">
        <v>113</v>
      </c>
      <c r="M29" s="3">
        <v>2042</v>
      </c>
      <c r="N29" s="10">
        <f t="shared" si="1"/>
        <v>91838</v>
      </c>
      <c r="O29" s="10">
        <f t="shared" si="2"/>
        <v>986</v>
      </c>
      <c r="P29" s="10">
        <f t="shared" si="3"/>
        <v>1124</v>
      </c>
      <c r="Q29" s="10">
        <f t="shared" si="0"/>
        <v>93948</v>
      </c>
    </row>
    <row r="30" spans="2:18" ht="14.1"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M30" s="3">
        <v>2043</v>
      </c>
      <c r="N30" s="10">
        <f t="shared" si="1"/>
        <v>91838</v>
      </c>
      <c r="O30" s="10">
        <f t="shared" si="2"/>
        <v>986</v>
      </c>
      <c r="P30" s="10">
        <f t="shared" si="3"/>
        <v>1124</v>
      </c>
      <c r="Q30" s="10">
        <f t="shared" si="0"/>
        <v>93948</v>
      </c>
      <c r="R30"/>
    </row>
    <row r="31" spans="2:18"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M31" s="3">
        <v>2044</v>
      </c>
      <c r="N31" s="10">
        <f t="shared" si="1"/>
        <v>91838</v>
      </c>
      <c r="O31" s="10">
        <f t="shared" si="2"/>
        <v>986</v>
      </c>
      <c r="P31" s="10">
        <f t="shared" si="3"/>
        <v>1124</v>
      </c>
      <c r="Q31" s="10">
        <f t="shared" si="0"/>
        <v>93948</v>
      </c>
      <c r="R31" s="12" t="s">
        <v>67</v>
      </c>
    </row>
    <row r="32" spans="2:18">
      <c r="B32" s="103"/>
      <c r="C32" s="103"/>
      <c r="D32" s="103"/>
      <c r="E32" s="103"/>
      <c r="F32" s="103"/>
      <c r="G32" s="103"/>
      <c r="H32" s="103"/>
      <c r="I32" s="103"/>
      <c r="J32" s="103"/>
      <c r="K32" s="103"/>
      <c r="M32" s="3">
        <v>2045</v>
      </c>
      <c r="N32" s="10">
        <f t="shared" si="1"/>
        <v>91838</v>
      </c>
      <c r="O32" s="10">
        <f t="shared" si="2"/>
        <v>986</v>
      </c>
      <c r="P32" s="10">
        <f t="shared" si="3"/>
        <v>1124</v>
      </c>
      <c r="Q32" s="10">
        <f t="shared" si="0"/>
        <v>93948</v>
      </c>
    </row>
    <row r="33" spans="2:17" ht="13.7" customHeight="1">
      <c r="B33" s="91" t="s">
        <v>26</v>
      </c>
      <c r="C33" s="92"/>
      <c r="D33" s="91" t="s">
        <v>27</v>
      </c>
      <c r="E33" s="99"/>
      <c r="F33" s="99"/>
      <c r="G33" s="99"/>
      <c r="H33" s="99"/>
      <c r="I33" s="92"/>
      <c r="J33" s="55" t="s">
        <v>28</v>
      </c>
      <c r="K33" s="55" t="s">
        <v>29</v>
      </c>
      <c r="M33" s="3">
        <v>2046</v>
      </c>
      <c r="N33" s="10">
        <f t="shared" si="1"/>
        <v>91838</v>
      </c>
      <c r="O33" s="10">
        <f t="shared" si="2"/>
        <v>986</v>
      </c>
      <c r="P33" s="10">
        <f t="shared" si="3"/>
        <v>1124</v>
      </c>
      <c r="Q33" s="10">
        <f t="shared" si="0"/>
        <v>93948</v>
      </c>
    </row>
    <row r="34" spans="2:17" ht="12.95">
      <c r="B34" s="66"/>
      <c r="C34" s="67"/>
      <c r="D34" s="67">
        <v>2017</v>
      </c>
      <c r="E34" s="67">
        <v>2018</v>
      </c>
      <c r="F34" s="67">
        <v>2019</v>
      </c>
      <c r="G34" s="67">
        <v>2020</v>
      </c>
      <c r="H34" s="55">
        <v>2021</v>
      </c>
      <c r="I34" s="70" t="s">
        <v>114</v>
      </c>
      <c r="J34" s="55"/>
      <c r="K34" s="55"/>
      <c r="M34" s="3">
        <v>2047</v>
      </c>
      <c r="N34" s="10">
        <f t="shared" si="1"/>
        <v>91838</v>
      </c>
      <c r="O34" s="10">
        <f t="shared" si="2"/>
        <v>986</v>
      </c>
      <c r="P34" s="10">
        <f t="shared" si="3"/>
        <v>1124</v>
      </c>
      <c r="Q34" s="10">
        <f t="shared" si="0"/>
        <v>93948</v>
      </c>
    </row>
    <row r="35" spans="2:17" ht="15">
      <c r="B35" s="95" t="s">
        <v>115</v>
      </c>
      <c r="C35" s="96"/>
      <c r="D35" s="14">
        <f>(D24*D12/1000*D20+D25*D13/1000*D21)/D26</f>
        <v>42254.918478260865</v>
      </c>
      <c r="E35" s="14">
        <f>(E24*E12/1000*E20+E25*E13/1000*E21)/E26</f>
        <v>110036.41304347827</v>
      </c>
      <c r="F35" s="14">
        <f>(F24*F12/1000*F20+F25*F13/1000*F21)/F26</f>
        <v>169931.25</v>
      </c>
      <c r="G35" s="14">
        <f>(G24*G12/1000*G20+G25*G13/1000*G21)/G26</f>
        <v>169931.25</v>
      </c>
      <c r="H35" s="14">
        <f>(H24*H12/1000*H20+H25*H13/1000*H21)/H26</f>
        <v>169931.25</v>
      </c>
      <c r="I35" s="21">
        <f>AVERAGE(D35:H35)</f>
        <v>132417.01630434784</v>
      </c>
      <c r="J35" s="8" t="s">
        <v>116</v>
      </c>
      <c r="K35" s="3" t="s">
        <v>66</v>
      </c>
      <c r="M35" s="3">
        <v>2048</v>
      </c>
      <c r="N35" s="10">
        <f t="shared" si="1"/>
        <v>91838</v>
      </c>
      <c r="O35" s="10">
        <f t="shared" si="2"/>
        <v>986</v>
      </c>
      <c r="P35" s="10">
        <f t="shared" si="3"/>
        <v>1124</v>
      </c>
      <c r="Q35" s="10">
        <f t="shared" si="0"/>
        <v>93948</v>
      </c>
    </row>
    <row r="36" spans="2:17" ht="12.95">
      <c r="B36" s="62"/>
      <c r="C36" s="62"/>
      <c r="D36" s="5"/>
      <c r="E36" s="5"/>
      <c r="F36" s="5"/>
      <c r="G36" s="5"/>
      <c r="H36" s="5"/>
      <c r="I36" s="63"/>
      <c r="J36" s="64"/>
      <c r="K36" s="2"/>
      <c r="M36" s="3">
        <v>2049</v>
      </c>
      <c r="N36" s="10">
        <f t="shared" si="1"/>
        <v>91838</v>
      </c>
      <c r="O36" s="10">
        <f t="shared" si="2"/>
        <v>986</v>
      </c>
      <c r="P36" s="10">
        <f t="shared" si="3"/>
        <v>1124</v>
      </c>
      <c r="Q36" s="10">
        <f t="shared" si="0"/>
        <v>93948</v>
      </c>
    </row>
    <row r="37" spans="2:17" ht="12.95">
      <c r="B37" s="62"/>
      <c r="C37" s="62"/>
      <c r="D37" s="5"/>
      <c r="E37" s="5"/>
      <c r="F37" s="5"/>
      <c r="G37" s="5"/>
      <c r="H37" s="5"/>
      <c r="I37" s="63"/>
      <c r="J37" s="64"/>
      <c r="K37" s="2"/>
      <c r="M37" s="3">
        <v>2050</v>
      </c>
      <c r="N37" s="10">
        <f t="shared" si="1"/>
        <v>91838</v>
      </c>
      <c r="O37" s="10">
        <f t="shared" si="2"/>
        <v>986</v>
      </c>
      <c r="P37" s="10">
        <f t="shared" si="3"/>
        <v>1124</v>
      </c>
      <c r="Q37" s="10">
        <f t="shared" si="0"/>
        <v>93948</v>
      </c>
    </row>
    <row r="38" spans="2:17" ht="12.95">
      <c r="B38" s="6" t="s">
        <v>117</v>
      </c>
      <c r="C38" s="6"/>
      <c r="D38" s="6"/>
      <c r="E38" s="6"/>
      <c r="F38" s="6"/>
      <c r="G38" s="6"/>
      <c r="M38" s="3">
        <v>2051</v>
      </c>
      <c r="N38" s="10">
        <f t="shared" si="1"/>
        <v>91838</v>
      </c>
      <c r="O38" s="10">
        <f t="shared" si="2"/>
        <v>986</v>
      </c>
      <c r="P38" s="10">
        <f t="shared" si="3"/>
        <v>1124</v>
      </c>
      <c r="Q38" s="10">
        <f t="shared" si="0"/>
        <v>93948</v>
      </c>
    </row>
    <row r="39" spans="2:17">
      <c r="B39" s="97"/>
      <c r="C39" s="97"/>
      <c r="D39" s="97"/>
      <c r="E39" s="97"/>
      <c r="F39" s="97"/>
      <c r="G39" s="97"/>
      <c r="H39" s="97"/>
      <c r="I39" s="97"/>
      <c r="J39" s="97"/>
      <c r="K39" s="97"/>
      <c r="M39" s="3">
        <v>2052</v>
      </c>
      <c r="N39" s="10">
        <f t="shared" si="1"/>
        <v>91838</v>
      </c>
      <c r="O39" s="10">
        <f t="shared" si="2"/>
        <v>986</v>
      </c>
      <c r="P39" s="10">
        <f t="shared" si="3"/>
        <v>1124</v>
      </c>
      <c r="Q39" s="10">
        <f t="shared" si="0"/>
        <v>93948</v>
      </c>
    </row>
    <row r="40" spans="2:17">
      <c r="B40" s="97"/>
      <c r="C40" s="97"/>
      <c r="D40" s="97"/>
      <c r="E40" s="97"/>
      <c r="F40" s="97"/>
      <c r="G40" s="97"/>
      <c r="H40" s="97"/>
      <c r="I40" s="97"/>
      <c r="J40" s="97"/>
      <c r="K40" s="97"/>
      <c r="M40" s="3">
        <v>2053</v>
      </c>
      <c r="N40" s="10">
        <f t="shared" si="1"/>
        <v>91838</v>
      </c>
      <c r="O40" s="10">
        <f t="shared" si="2"/>
        <v>986</v>
      </c>
      <c r="P40" s="10">
        <f t="shared" si="3"/>
        <v>1124</v>
      </c>
      <c r="Q40" s="10">
        <f t="shared" si="0"/>
        <v>93948</v>
      </c>
    </row>
    <row r="41" spans="2:17">
      <c r="B41" s="97"/>
      <c r="C41" s="97"/>
      <c r="D41" s="97"/>
      <c r="E41" s="97"/>
      <c r="F41" s="97"/>
      <c r="G41" s="97"/>
      <c r="H41" s="97"/>
      <c r="I41" s="97"/>
      <c r="J41" s="97"/>
      <c r="K41" s="97"/>
      <c r="M41" s="3">
        <v>2054</v>
      </c>
      <c r="N41" s="10">
        <f t="shared" si="1"/>
        <v>91838</v>
      </c>
      <c r="O41" s="10">
        <f t="shared" si="2"/>
        <v>986</v>
      </c>
      <c r="P41" s="10">
        <f t="shared" si="3"/>
        <v>1124</v>
      </c>
      <c r="Q41" s="10">
        <f t="shared" si="0"/>
        <v>93948</v>
      </c>
    </row>
    <row r="42" spans="2:17" ht="13.7" customHeight="1">
      <c r="B42" s="91" t="s">
        <v>26</v>
      </c>
      <c r="C42" s="92"/>
      <c r="D42" s="91" t="s">
        <v>27</v>
      </c>
      <c r="E42" s="99"/>
      <c r="F42" s="99"/>
      <c r="G42" s="99"/>
      <c r="H42" s="99"/>
      <c r="I42" s="92"/>
      <c r="J42" s="55" t="s">
        <v>28</v>
      </c>
      <c r="K42" s="55" t="s">
        <v>29</v>
      </c>
      <c r="M42" s="3">
        <v>2055</v>
      </c>
      <c r="N42" s="10">
        <f t="shared" si="1"/>
        <v>91838</v>
      </c>
      <c r="O42" s="10">
        <f t="shared" si="2"/>
        <v>986</v>
      </c>
      <c r="P42" s="10">
        <f t="shared" si="3"/>
        <v>1124</v>
      </c>
      <c r="Q42" s="10">
        <f t="shared" si="0"/>
        <v>93948</v>
      </c>
    </row>
    <row r="43" spans="2:17" ht="26.1">
      <c r="B43" s="66"/>
      <c r="C43" s="67"/>
      <c r="D43" s="67">
        <v>2017</v>
      </c>
      <c r="E43" s="67">
        <v>2018</v>
      </c>
      <c r="F43" s="67">
        <v>2019</v>
      </c>
      <c r="G43" s="67">
        <v>2020</v>
      </c>
      <c r="H43" s="55">
        <v>2021</v>
      </c>
      <c r="I43" s="70" t="s">
        <v>81</v>
      </c>
      <c r="J43" s="55"/>
      <c r="K43" s="55"/>
      <c r="M43" s="3">
        <v>2056</v>
      </c>
      <c r="N43" s="10">
        <f t="shared" si="1"/>
        <v>91838</v>
      </c>
      <c r="O43" s="10">
        <f t="shared" si="2"/>
        <v>986</v>
      </c>
      <c r="P43" s="10">
        <f t="shared" si="3"/>
        <v>1124</v>
      </c>
      <c r="Q43" s="10">
        <f t="shared" si="0"/>
        <v>93948</v>
      </c>
    </row>
    <row r="44" spans="2:17" ht="15.6">
      <c r="B44" s="95" t="s">
        <v>102</v>
      </c>
      <c r="C44" s="96"/>
      <c r="D44" s="21">
        <f t="shared" ref="D44:I44" si="4">(D4*D12*D8*D20+D4*D13*D9*D21)/(1000*365)</f>
        <v>22836.483561643836</v>
      </c>
      <c r="E44" s="21">
        <f t="shared" si="4"/>
        <v>59468.509589041096</v>
      </c>
      <c r="F44" s="21">
        <f t="shared" si="4"/>
        <v>91838.216438356161</v>
      </c>
      <c r="G44" s="21">
        <f t="shared" si="4"/>
        <v>91838.216438356161</v>
      </c>
      <c r="H44" s="21">
        <f t="shared" si="4"/>
        <v>91838.216438356161</v>
      </c>
      <c r="I44" s="21">
        <f t="shared" si="4"/>
        <v>91838.216438356161</v>
      </c>
      <c r="J44" s="8" t="s">
        <v>76</v>
      </c>
      <c r="K44" s="3" t="s">
        <v>66</v>
      </c>
      <c r="M44" s="20" t="s">
        <v>24</v>
      </c>
      <c r="N44" s="10">
        <f>SUM(N4:N43)</f>
        <v>3572149</v>
      </c>
      <c r="O44" s="10">
        <f>SUM(O4:O43)</f>
        <v>38351</v>
      </c>
      <c r="P44" s="10">
        <f>SUM(P4:P43)</f>
        <v>43719</v>
      </c>
      <c r="Q44" s="10">
        <f>SUM(Q4:Q43)</f>
        <v>3654219</v>
      </c>
    </row>
    <row r="45" spans="2:17">
      <c r="B45" s="7"/>
      <c r="C45" s="7"/>
      <c r="D45" s="7"/>
      <c r="E45" s="7"/>
      <c r="F45" s="7"/>
      <c r="G45" s="7"/>
    </row>
    <row r="46" spans="2:17" ht="14.1">
      <c r="B46" s="6" t="s">
        <v>118</v>
      </c>
      <c r="C46" s="6"/>
      <c r="D46" s="6"/>
      <c r="E46" s="6"/>
      <c r="F46" s="6"/>
      <c r="G46" s="6"/>
      <c r="K46"/>
    </row>
    <row r="47" spans="2:17" ht="14.1">
      <c r="B47" s="97"/>
      <c r="C47" s="97"/>
      <c r="D47" s="97"/>
      <c r="E47" s="97"/>
      <c r="F47" s="97"/>
      <c r="G47" s="97"/>
      <c r="H47" s="97"/>
      <c r="I47" s="97"/>
      <c r="J47" s="97"/>
      <c r="K47" s="97"/>
      <c r="O47"/>
    </row>
    <row r="48" spans="2:17">
      <c r="B48" s="97"/>
      <c r="C48" s="97"/>
      <c r="D48" s="97"/>
      <c r="E48" s="97"/>
      <c r="F48" s="97"/>
      <c r="G48" s="97"/>
      <c r="H48" s="97"/>
      <c r="I48" s="97"/>
      <c r="J48" s="97"/>
      <c r="K48" s="97"/>
    </row>
    <row r="49" spans="2:18" ht="14.1">
      <c r="B49" s="97"/>
      <c r="C49" s="97"/>
      <c r="D49" s="97"/>
      <c r="E49" s="97"/>
      <c r="F49" s="97"/>
      <c r="G49" s="97"/>
      <c r="H49" s="97"/>
      <c r="I49" s="97"/>
      <c r="J49" s="97"/>
      <c r="K49" s="97"/>
      <c r="M49"/>
    </row>
    <row r="50" spans="2:18" ht="15">
      <c r="B50" s="6" t="s">
        <v>119</v>
      </c>
      <c r="C50" s="6"/>
      <c r="D50" s="6"/>
      <c r="E50" s="6"/>
      <c r="F50" s="6"/>
      <c r="G50" s="6"/>
      <c r="J50"/>
    </row>
    <row r="51" spans="2:18" ht="14.1">
      <c r="B51" s="97"/>
      <c r="C51" s="97"/>
      <c r="D51" s="97"/>
      <c r="E51" s="97"/>
      <c r="F51" s="97"/>
      <c r="G51" s="97"/>
      <c r="H51" s="97"/>
      <c r="I51" s="97"/>
      <c r="J51" s="97"/>
      <c r="K51" s="97"/>
      <c r="M51"/>
      <c r="N51"/>
    </row>
    <row r="52" spans="2:18" ht="14.1">
      <c r="B52" s="97"/>
      <c r="C52" s="97"/>
      <c r="D52" s="97"/>
      <c r="E52" s="97"/>
      <c r="F52" s="97"/>
      <c r="G52" s="97"/>
      <c r="H52" s="97"/>
      <c r="I52" s="97"/>
      <c r="J52" s="97"/>
      <c r="K52" s="97"/>
      <c r="M52"/>
    </row>
    <row r="53" spans="2:18" ht="14.1">
      <c r="B53" s="98"/>
      <c r="C53" s="98"/>
      <c r="D53" s="98"/>
      <c r="E53" s="98"/>
      <c r="F53" s="98"/>
      <c r="G53" s="98"/>
      <c r="H53" s="98"/>
      <c r="I53" s="98"/>
      <c r="J53" s="98"/>
      <c r="K53" s="98"/>
      <c r="O53"/>
    </row>
    <row r="54" spans="2:18" ht="14.1">
      <c r="B54" s="91" t="s">
        <v>26</v>
      </c>
      <c r="C54" s="92"/>
      <c r="D54" s="91" t="s">
        <v>27</v>
      </c>
      <c r="E54" s="99"/>
      <c r="F54" s="99"/>
      <c r="G54" s="99"/>
      <c r="H54" s="99"/>
      <c r="I54" s="92"/>
      <c r="J54" s="55" t="s">
        <v>28</v>
      </c>
      <c r="K54" s="55" t="s">
        <v>29</v>
      </c>
      <c r="M54" s="12" t="s">
        <v>67</v>
      </c>
      <c r="R54"/>
    </row>
    <row r="55" spans="2:18" ht="26.1">
      <c r="B55" s="66"/>
      <c r="C55" s="67"/>
      <c r="D55" s="67">
        <v>2017</v>
      </c>
      <c r="E55" s="67">
        <v>2018</v>
      </c>
      <c r="F55" s="67">
        <v>2019</v>
      </c>
      <c r="G55" s="67">
        <v>2020</v>
      </c>
      <c r="H55" s="55">
        <v>2021</v>
      </c>
      <c r="I55" s="70" t="s">
        <v>81</v>
      </c>
      <c r="J55" s="55"/>
      <c r="K55" s="55"/>
      <c r="M55"/>
      <c r="O55"/>
    </row>
    <row r="56" spans="2:18" ht="15.6">
      <c r="B56" s="95" t="s">
        <v>103</v>
      </c>
      <c r="C56" s="96"/>
      <c r="D56" s="23">
        <f t="shared" ref="D56:I56" si="5">D5*(D71+D72)</f>
        <v>245.16410890912289</v>
      </c>
      <c r="E56" s="23">
        <f t="shared" si="5"/>
        <v>638.43339359070876</v>
      </c>
      <c r="F56" s="23">
        <f t="shared" si="5"/>
        <v>985.9440542625772</v>
      </c>
      <c r="G56" s="23">
        <f t="shared" si="5"/>
        <v>985.9440542625772</v>
      </c>
      <c r="H56" s="23">
        <f t="shared" si="5"/>
        <v>985.9440542625772</v>
      </c>
      <c r="I56" s="23">
        <f t="shared" si="5"/>
        <v>985.9440542625772</v>
      </c>
      <c r="J56" s="8" t="s">
        <v>76</v>
      </c>
      <c r="K56" s="3" t="s">
        <v>66</v>
      </c>
      <c r="M56"/>
    </row>
    <row r="57" spans="2:18">
      <c r="B57" s="7"/>
      <c r="C57" s="7"/>
      <c r="D57" s="7"/>
      <c r="E57" s="7"/>
      <c r="F57" s="7"/>
      <c r="G57" s="7"/>
    </row>
    <row r="58" spans="2:18" ht="15">
      <c r="B58" s="6" t="s">
        <v>120</v>
      </c>
      <c r="C58" s="6"/>
      <c r="D58" s="6"/>
      <c r="E58" s="6"/>
      <c r="F58" s="6"/>
      <c r="G58" s="6"/>
    </row>
    <row r="59" spans="2:18">
      <c r="B59" s="97"/>
      <c r="C59" s="97"/>
      <c r="D59" s="97"/>
      <c r="E59" s="97"/>
      <c r="F59" s="97"/>
      <c r="G59" s="97"/>
      <c r="H59" s="97"/>
      <c r="I59" s="97"/>
      <c r="J59" s="97"/>
      <c r="K59" s="97"/>
    </row>
    <row r="60" spans="2:18" ht="14.1">
      <c r="B60" s="97"/>
      <c r="C60" s="97"/>
      <c r="D60" s="97"/>
      <c r="E60" s="97"/>
      <c r="F60" s="97"/>
      <c r="G60" s="97"/>
      <c r="H60" s="97"/>
      <c r="I60" s="97"/>
      <c r="J60" s="97"/>
      <c r="K60" s="97"/>
      <c r="M60"/>
    </row>
    <row r="61" spans="2:18">
      <c r="B61" s="97"/>
      <c r="C61" s="97"/>
      <c r="D61" s="97"/>
      <c r="E61" s="97"/>
      <c r="F61" s="97"/>
      <c r="G61" s="97"/>
      <c r="H61" s="97"/>
      <c r="I61" s="97"/>
      <c r="J61" s="97"/>
      <c r="K61" s="97"/>
    </row>
    <row r="62" spans="2:18" ht="14.1">
      <c r="B62" s="97"/>
      <c r="C62" s="97"/>
      <c r="D62" s="97"/>
      <c r="E62" s="97"/>
      <c r="F62" s="97"/>
      <c r="G62" s="97"/>
      <c r="H62" s="97"/>
      <c r="I62" s="97"/>
      <c r="J62" s="97"/>
      <c r="K62" s="97"/>
      <c r="R62"/>
    </row>
    <row r="63" spans="2:18">
      <c r="B63" s="97"/>
      <c r="C63" s="97"/>
      <c r="D63" s="97"/>
      <c r="E63" s="97"/>
      <c r="F63" s="97"/>
      <c r="G63" s="97"/>
      <c r="H63" s="97"/>
      <c r="I63" s="97"/>
      <c r="J63" s="97"/>
      <c r="K63" s="97"/>
    </row>
    <row r="64" spans="2:18">
      <c r="B64" s="98"/>
      <c r="C64" s="98"/>
      <c r="D64" s="98"/>
      <c r="E64" s="98"/>
      <c r="F64" s="98"/>
      <c r="G64" s="98"/>
      <c r="H64" s="98"/>
      <c r="I64" s="98"/>
      <c r="J64" s="98"/>
      <c r="K64" s="98"/>
    </row>
    <row r="65" spans="2:13" ht="15">
      <c r="B65" s="6" t="s">
        <v>121</v>
      </c>
      <c r="C65" s="6"/>
      <c r="D65" s="6"/>
      <c r="E65" s="6"/>
      <c r="F65" s="6"/>
      <c r="G65" s="6"/>
    </row>
    <row r="66" spans="2:13">
      <c r="B66" s="97"/>
      <c r="C66" s="97"/>
      <c r="D66" s="97"/>
      <c r="E66" s="97"/>
      <c r="F66" s="97"/>
      <c r="G66" s="97"/>
      <c r="H66" s="97"/>
      <c r="I66" s="97"/>
      <c r="J66" s="97"/>
      <c r="K66" s="97"/>
    </row>
    <row r="67" spans="2:13">
      <c r="B67" s="97"/>
      <c r="C67" s="97"/>
      <c r="D67" s="97"/>
      <c r="E67" s="97"/>
      <c r="F67" s="97"/>
      <c r="G67" s="97"/>
      <c r="H67" s="97"/>
      <c r="I67" s="97"/>
      <c r="J67" s="97"/>
      <c r="K67" s="97"/>
    </row>
    <row r="68" spans="2:13">
      <c r="B68" s="98"/>
      <c r="C68" s="98"/>
      <c r="D68" s="98"/>
      <c r="E68" s="98"/>
      <c r="F68" s="98"/>
      <c r="G68" s="98"/>
      <c r="H68" s="98"/>
      <c r="I68" s="98"/>
      <c r="J68" s="98"/>
      <c r="K68" s="98"/>
    </row>
    <row r="69" spans="2:13" ht="13.7" customHeight="1">
      <c r="B69" s="91" t="s">
        <v>26</v>
      </c>
      <c r="C69" s="92"/>
      <c r="D69" s="91" t="s">
        <v>27</v>
      </c>
      <c r="E69" s="99"/>
      <c r="F69" s="99"/>
      <c r="G69" s="99"/>
      <c r="H69" s="99"/>
      <c r="I69" s="92"/>
      <c r="J69" s="55" t="s">
        <v>28</v>
      </c>
      <c r="K69" s="55" t="s">
        <v>29</v>
      </c>
    </row>
    <row r="70" spans="2:13" ht="26.1">
      <c r="B70" s="66"/>
      <c r="C70" s="67"/>
      <c r="D70" s="67">
        <v>2017</v>
      </c>
      <c r="E70" s="67">
        <v>2018</v>
      </c>
      <c r="F70" s="67">
        <v>2019</v>
      </c>
      <c r="G70" s="67">
        <v>2020</v>
      </c>
      <c r="H70" s="55">
        <v>2021</v>
      </c>
      <c r="I70" s="70" t="s">
        <v>81</v>
      </c>
      <c r="J70" s="55"/>
      <c r="K70" s="55"/>
    </row>
    <row r="71" spans="2:13" ht="15">
      <c r="B71" s="95" t="s">
        <v>122</v>
      </c>
      <c r="C71" s="96"/>
      <c r="D71" s="22">
        <f t="shared" ref="D71:I71" si="6">D12*D14*D16*D18*D20*(1-D22)/(1000*24*1000)*D6*44/28+D13*D15*D17*D19*D21*(1-D23)/(1000*24*1000)*D7*44/28</f>
        <v>0.63383746988571432</v>
      </c>
      <c r="E71" s="22">
        <f t="shared" si="6"/>
        <v>1.6505808678857146</v>
      </c>
      <c r="F71" s="22">
        <f t="shared" si="6"/>
        <v>2.5490217921142859</v>
      </c>
      <c r="G71" s="22">
        <f t="shared" si="6"/>
        <v>2.5490217921142859</v>
      </c>
      <c r="H71" s="22">
        <f t="shared" si="6"/>
        <v>2.5490217921142859</v>
      </c>
      <c r="I71" s="22">
        <f t="shared" si="6"/>
        <v>2.5490217921142859</v>
      </c>
      <c r="J71" s="3" t="s">
        <v>73</v>
      </c>
      <c r="K71" s="3" t="s">
        <v>66</v>
      </c>
    </row>
    <row r="72" spans="2:13" ht="15">
      <c r="B72" s="95" t="s">
        <v>123</v>
      </c>
      <c r="C72" s="96"/>
      <c r="D72" s="22">
        <f t="shared" ref="D72:I72" si="7">D12*D14*D16*D18*D20*(1-D22)*D22*D27/(1000*24*1000)*44/28+D13*D15*D17*D19*D21*(1-D23)*D23*D27/(1000*24*1000)*44/28</f>
        <v>0.29131011090342857</v>
      </c>
      <c r="E72" s="22">
        <f t="shared" si="7"/>
        <v>0.75860174943771441</v>
      </c>
      <c r="F72" s="22">
        <f t="shared" si="7"/>
        <v>1.1715218088765715</v>
      </c>
      <c r="G72" s="22">
        <f t="shared" si="7"/>
        <v>1.1715218088765715</v>
      </c>
      <c r="H72" s="22">
        <f t="shared" si="7"/>
        <v>1.1715218088765715</v>
      </c>
      <c r="I72" s="22">
        <f t="shared" si="7"/>
        <v>1.1715218088765715</v>
      </c>
      <c r="J72" s="3" t="s">
        <v>73</v>
      </c>
      <c r="K72" s="3" t="s">
        <v>66</v>
      </c>
    </row>
    <row r="73" spans="2:13" ht="12.95">
      <c r="B73" s="25"/>
      <c r="C73" s="25"/>
      <c r="D73" s="25"/>
      <c r="E73" s="25"/>
      <c r="F73" s="25"/>
      <c r="G73" s="25"/>
      <c r="H73" s="25"/>
      <c r="I73" s="25"/>
      <c r="J73" s="25"/>
      <c r="K73" s="25"/>
    </row>
    <row r="74" spans="2:13" ht="15">
      <c r="B74" s="6" t="s">
        <v>124</v>
      </c>
      <c r="C74" s="6"/>
      <c r="D74" s="6"/>
      <c r="E74" s="6"/>
      <c r="F74" s="6"/>
      <c r="G74" s="6"/>
    </row>
    <row r="75" spans="2:13" ht="14.1">
      <c r="B75" s="97"/>
      <c r="C75" s="97"/>
      <c r="D75" s="97"/>
      <c r="E75" s="97"/>
      <c r="F75" s="97"/>
      <c r="G75" s="97"/>
      <c r="H75" s="97"/>
      <c r="I75" s="97"/>
      <c r="J75" s="97"/>
      <c r="K75" s="97"/>
      <c r="L75"/>
    </row>
    <row r="76" spans="2:13">
      <c r="B76" s="97"/>
      <c r="C76" s="97"/>
      <c r="D76" s="97"/>
      <c r="E76" s="97"/>
      <c r="F76" s="97"/>
      <c r="G76" s="97"/>
      <c r="H76" s="97"/>
      <c r="I76" s="97"/>
      <c r="J76" s="97"/>
      <c r="K76" s="97"/>
    </row>
    <row r="77" spans="2:13" ht="14.1">
      <c r="B77" s="98"/>
      <c r="C77" s="98"/>
      <c r="D77" s="98"/>
      <c r="E77" s="98"/>
      <c r="F77" s="98"/>
      <c r="G77" s="98"/>
      <c r="H77" s="98"/>
      <c r="I77" s="98"/>
      <c r="J77" s="98"/>
      <c r="K77" s="98"/>
      <c r="L77"/>
    </row>
    <row r="78" spans="2:13" ht="13.7" customHeight="1">
      <c r="B78" s="91" t="s">
        <v>26</v>
      </c>
      <c r="C78" s="92"/>
      <c r="D78" s="91" t="s">
        <v>27</v>
      </c>
      <c r="E78" s="99"/>
      <c r="F78" s="99"/>
      <c r="G78" s="99"/>
      <c r="H78" s="99"/>
      <c r="I78" s="92"/>
      <c r="J78" s="55" t="s">
        <v>28</v>
      </c>
      <c r="K78" s="55" t="s">
        <v>29</v>
      </c>
      <c r="L78" s="2"/>
      <c r="M78" s="2"/>
    </row>
    <row r="79" spans="2:13" ht="26.1">
      <c r="B79" s="66"/>
      <c r="C79" s="67"/>
      <c r="D79" s="67">
        <v>2017</v>
      </c>
      <c r="E79" s="67">
        <v>2018</v>
      </c>
      <c r="F79" s="67">
        <v>2019</v>
      </c>
      <c r="G79" s="67">
        <v>2020</v>
      </c>
      <c r="H79" s="55">
        <v>2021</v>
      </c>
      <c r="I79" s="70" t="s">
        <v>81</v>
      </c>
      <c r="J79" s="55"/>
      <c r="K79" s="55"/>
      <c r="L79" s="2"/>
      <c r="M79" s="2"/>
    </row>
    <row r="80" spans="2:13" ht="15.6">
      <c r="B80" s="95" t="s">
        <v>125</v>
      </c>
      <c r="C80" s="96"/>
      <c r="D80" s="23">
        <f t="shared" ref="D80:I80" si="8">D4*D10*D12*D18*D20/(24*365*1000)+D4*D11*D13*D19*D21/(24*365*1000)</f>
        <v>279.48602739726033</v>
      </c>
      <c r="E80" s="23">
        <f t="shared" si="8"/>
        <v>727.8158904109589</v>
      </c>
      <c r="F80" s="23">
        <f t="shared" si="8"/>
        <v>1123.9813698630137</v>
      </c>
      <c r="G80" s="23">
        <f t="shared" si="8"/>
        <v>1123.9813698630137</v>
      </c>
      <c r="H80" s="23">
        <f t="shared" si="8"/>
        <v>1123.9813698630137</v>
      </c>
      <c r="I80" s="23">
        <f t="shared" si="8"/>
        <v>1123.9813698630137</v>
      </c>
      <c r="J80" s="8" t="s">
        <v>76</v>
      </c>
      <c r="K80" s="3" t="s">
        <v>66</v>
      </c>
      <c r="L80" s="2"/>
      <c r="M80" s="2"/>
    </row>
    <row r="81" spans="2:13">
      <c r="B81" s="7"/>
      <c r="C81" s="7"/>
      <c r="D81" s="7"/>
      <c r="E81" s="7"/>
      <c r="F81" s="7"/>
      <c r="G81" s="7"/>
      <c r="L81" s="2"/>
      <c r="M81" s="2"/>
    </row>
    <row r="82" spans="2:13">
      <c r="L82" s="2"/>
      <c r="M82" s="2"/>
    </row>
    <row r="83" spans="2:13">
      <c r="L83" s="2"/>
      <c r="M83" s="2"/>
    </row>
    <row r="84" spans="2:13">
      <c r="L84" s="2"/>
      <c r="M84" s="2"/>
    </row>
  </sheetData>
  <mergeCells count="39">
    <mergeCell ref="B80:C80"/>
    <mergeCell ref="B47:K49"/>
    <mergeCell ref="B51:K53"/>
    <mergeCell ref="B54:C54"/>
    <mergeCell ref="B56:C56"/>
    <mergeCell ref="B59:K64"/>
    <mergeCell ref="B66:K68"/>
    <mergeCell ref="B69:C69"/>
    <mergeCell ref="B71:C71"/>
    <mergeCell ref="B72:C72"/>
    <mergeCell ref="B75:K77"/>
    <mergeCell ref="B78:C78"/>
    <mergeCell ref="D78:I78"/>
    <mergeCell ref="D69:I69"/>
    <mergeCell ref="D54:I54"/>
    <mergeCell ref="B44:C44"/>
    <mergeCell ref="B8:B9"/>
    <mergeCell ref="B10:B11"/>
    <mergeCell ref="B12:B13"/>
    <mergeCell ref="B14:B15"/>
    <mergeCell ref="B16:B17"/>
    <mergeCell ref="B18:B19"/>
    <mergeCell ref="B20:B21"/>
    <mergeCell ref="B22:B23"/>
    <mergeCell ref="B27:C27"/>
    <mergeCell ref="B39:K41"/>
    <mergeCell ref="B42:C42"/>
    <mergeCell ref="D42:I42"/>
    <mergeCell ref="B2:C2"/>
    <mergeCell ref="D2:H2"/>
    <mergeCell ref="B4:C4"/>
    <mergeCell ref="B5:C5"/>
    <mergeCell ref="B6:C6"/>
    <mergeCell ref="B7:C7"/>
    <mergeCell ref="B24:B25"/>
    <mergeCell ref="B33:C33"/>
    <mergeCell ref="B35:C35"/>
    <mergeCell ref="B30:K32"/>
    <mergeCell ref="D33:I33"/>
  </mergeCells>
  <phoneticPr fontId="2" type="noConversion"/>
  <pageMargins left="0.7" right="0.7" top="0.75" bottom="0.75" header="0.3" footer="0.3"/>
  <pageSetup paperSize="9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F209D-B8D0-48C1-868C-EDC06600FABD}">
  <dimension ref="A2:AG46"/>
  <sheetViews>
    <sheetView topLeftCell="N1" zoomScaleNormal="100" workbookViewId="0">
      <selection activeCell="U5" sqref="U5:U45"/>
    </sheetView>
  </sheetViews>
  <sheetFormatPr defaultColWidth="8.875" defaultRowHeight="12.6"/>
  <cols>
    <col min="1" max="1" width="8.875" style="12"/>
    <col min="2" max="2" width="9" style="12" bestFit="1" customWidth="1"/>
    <col min="3" max="5" width="10.375" style="12" bestFit="1" customWidth="1"/>
    <col min="6" max="20" width="10.375" style="12" customWidth="1"/>
    <col min="21" max="21" width="11.375" style="12" bestFit="1" customWidth="1"/>
    <col min="22" max="22" width="3.625" style="12" customWidth="1"/>
    <col min="23" max="23" width="11.625" style="12" customWidth="1"/>
    <col min="24" max="24" width="11.375" style="12" customWidth="1"/>
    <col min="25" max="25" width="19.875" style="12" customWidth="1"/>
    <col min="26" max="26" width="17.125" style="12" customWidth="1"/>
    <col min="27" max="27" width="12.125" style="16" customWidth="1"/>
    <col min="28" max="28" width="2.625" style="17" customWidth="1"/>
    <col min="29" max="31" width="8.875" style="12"/>
    <col min="32" max="32" width="22.375" style="12" customWidth="1"/>
    <col min="33" max="16384" width="8.875" style="12"/>
  </cols>
  <sheetData>
    <row r="2" spans="1:33" ht="39">
      <c r="B2" s="104" t="s">
        <v>15</v>
      </c>
      <c r="C2" s="105" t="s">
        <v>19</v>
      </c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7"/>
      <c r="W2" s="55" t="s">
        <v>126</v>
      </c>
      <c r="X2" s="55" t="s">
        <v>127</v>
      </c>
      <c r="Y2" s="55" t="s">
        <v>128</v>
      </c>
      <c r="Z2" s="70" t="s">
        <v>129</v>
      </c>
      <c r="AA2" s="55" t="s">
        <v>130</v>
      </c>
      <c r="AC2" s="70" t="s">
        <v>131</v>
      </c>
      <c r="AD2" s="70" t="s">
        <v>15</v>
      </c>
      <c r="AE2" s="70" t="s">
        <v>132</v>
      </c>
      <c r="AF2" s="70" t="s">
        <v>133</v>
      </c>
      <c r="AG2" s="70"/>
    </row>
    <row r="3" spans="1:33" ht="12.95">
      <c r="A3" s="12" t="s">
        <v>134</v>
      </c>
      <c r="B3" s="104"/>
      <c r="C3" s="74" t="s">
        <v>135</v>
      </c>
      <c r="D3" s="74" t="s">
        <v>136</v>
      </c>
      <c r="E3" s="74" t="s">
        <v>137</v>
      </c>
      <c r="F3" s="74" t="s">
        <v>138</v>
      </c>
      <c r="G3" s="74" t="s">
        <v>139</v>
      </c>
      <c r="H3" s="74" t="s">
        <v>140</v>
      </c>
      <c r="I3" s="74" t="s">
        <v>141</v>
      </c>
      <c r="J3" s="74" t="s">
        <v>142</v>
      </c>
      <c r="K3" s="74" t="s">
        <v>143</v>
      </c>
      <c r="L3" s="74" t="s">
        <v>144</v>
      </c>
      <c r="M3" s="74" t="s">
        <v>145</v>
      </c>
      <c r="N3" s="74" t="s">
        <v>146</v>
      </c>
      <c r="O3" s="74" t="s">
        <v>147</v>
      </c>
      <c r="P3" s="74" t="s">
        <v>148</v>
      </c>
      <c r="Q3" s="74" t="s">
        <v>149</v>
      </c>
      <c r="R3" s="74" t="s">
        <v>150</v>
      </c>
      <c r="S3" s="74" t="s">
        <v>151</v>
      </c>
      <c r="T3" s="74" t="s">
        <v>152</v>
      </c>
      <c r="U3" s="74" t="s">
        <v>153</v>
      </c>
      <c r="W3" s="55" t="s">
        <v>24</v>
      </c>
      <c r="X3" s="76">
        <f>SUM(X4:X21)</f>
        <v>261059.8</v>
      </c>
      <c r="Y3" s="55"/>
      <c r="Z3" s="55"/>
      <c r="AA3" s="55"/>
      <c r="AC3" s="27" t="s">
        <v>154</v>
      </c>
      <c r="AD3" s="27" t="s">
        <v>155</v>
      </c>
      <c r="AE3" s="27">
        <v>0</v>
      </c>
      <c r="AF3" s="27">
        <v>36.549999999999997</v>
      </c>
      <c r="AG3" s="85"/>
    </row>
    <row r="4" spans="1:33" ht="15">
      <c r="B4" s="104"/>
      <c r="C4" s="75" t="s">
        <v>23</v>
      </c>
      <c r="D4" s="75" t="s">
        <v>23</v>
      </c>
      <c r="E4" s="75" t="s">
        <v>23</v>
      </c>
      <c r="F4" s="75" t="s">
        <v>156</v>
      </c>
      <c r="G4" s="75" t="s">
        <v>156</v>
      </c>
      <c r="H4" s="75" t="s">
        <v>156</v>
      </c>
      <c r="I4" s="75" t="s">
        <v>156</v>
      </c>
      <c r="J4" s="75" t="s">
        <v>156</v>
      </c>
      <c r="K4" s="75" t="s">
        <v>156</v>
      </c>
      <c r="L4" s="75" t="s">
        <v>156</v>
      </c>
      <c r="M4" s="75" t="s">
        <v>156</v>
      </c>
      <c r="N4" s="75" t="s">
        <v>156</v>
      </c>
      <c r="O4" s="75" t="s">
        <v>156</v>
      </c>
      <c r="P4" s="75" t="s">
        <v>156</v>
      </c>
      <c r="Q4" s="75" t="s">
        <v>156</v>
      </c>
      <c r="R4" s="75" t="s">
        <v>156</v>
      </c>
      <c r="S4" s="75" t="s">
        <v>156</v>
      </c>
      <c r="T4" s="75" t="s">
        <v>156</v>
      </c>
      <c r="U4" s="75" t="s">
        <v>23</v>
      </c>
      <c r="W4" s="3">
        <v>1</v>
      </c>
      <c r="X4" s="87">
        <v>52009.9</v>
      </c>
      <c r="Y4" s="29" t="s">
        <v>157</v>
      </c>
      <c r="Z4" s="29" t="s">
        <v>158</v>
      </c>
      <c r="AA4" s="27" t="s">
        <v>159</v>
      </c>
      <c r="AC4" s="27" t="s">
        <v>160</v>
      </c>
      <c r="AD4" s="27">
        <v>2010</v>
      </c>
      <c r="AE4" s="27">
        <v>5</v>
      </c>
      <c r="AF4" s="27">
        <v>39.950000000000003</v>
      </c>
      <c r="AG4" s="86">
        <f>POWER(AF4/AF3,1/4)-1</f>
        <v>2.2485953573594841E-2</v>
      </c>
    </row>
    <row r="5" spans="1:33">
      <c r="B5" s="3">
        <v>2017</v>
      </c>
      <c r="C5" s="10">
        <f>Strata1!H12*X4*$AA$23*44/12</f>
        <v>112517.36657849001</v>
      </c>
      <c r="D5" s="10">
        <f>Strata2!H12*X5*$AA$23*44/12</f>
        <v>74930.612070076197</v>
      </c>
      <c r="E5" s="10">
        <f>Strata3!H12*X6*$AA$23*44/12</f>
        <v>11915.520498939966</v>
      </c>
      <c r="F5" s="10">
        <f>Strata4!H12*X7*$AA$23*44/12</f>
        <v>15238.610479135685</v>
      </c>
      <c r="G5" s="10">
        <f>Strata5!H12*X8*$AA$23*44/12</f>
        <v>5496.499010070037</v>
      </c>
      <c r="H5" s="10">
        <f>Strata6!H12*X9*$AA$23*44/12</f>
        <v>10318.078367237735</v>
      </c>
      <c r="I5" s="10">
        <f>Strata7!H12*X10*$AA$23*44/12</f>
        <v>21569.317109114898</v>
      </c>
      <c r="J5" s="10">
        <f>Strata8!H15*X11*$AA$23*44/12</f>
        <v>34282.456320179313</v>
      </c>
      <c r="K5" s="10">
        <f>Strata9!H12*X12*$AA$23*44/12</f>
        <v>41662.704729652083</v>
      </c>
      <c r="L5" s="10">
        <f>Strata10!H15*X13*$AA$23*44/12</f>
        <v>73555.043209259384</v>
      </c>
      <c r="M5" s="10">
        <f>Strata11!H12*X14*$AA$23*44/12</f>
        <v>71965.093867656353</v>
      </c>
      <c r="N5" s="10">
        <f>Strata12!H15*X15*$AA$23*44/12</f>
        <v>81053.774271392002</v>
      </c>
      <c r="O5" s="10">
        <f>Strata13!H12*X16*$AA$23*44/12</f>
        <v>4373.4812208112153</v>
      </c>
      <c r="P5" s="10">
        <f>Strata14!H12*X17*$AA$23*44/12</f>
        <v>6550.4689900704134</v>
      </c>
      <c r="Q5" s="10">
        <f>Strata15!H12*X18*$AA$23*44/12</f>
        <v>8312.7796954170317</v>
      </c>
      <c r="R5" s="10">
        <f>Strata16!H12*X19*$AA$23*44/12</f>
        <v>73075.487467183048</v>
      </c>
      <c r="S5" s="10">
        <f>Strata17!H12*X20*$AA$23*44/12</f>
        <v>8596.9308745686012</v>
      </c>
      <c r="T5" s="10">
        <f>Strata18!H12*X21*$AA$23*44/12</f>
        <v>50667.034835434672</v>
      </c>
      <c r="U5" s="13">
        <f>ROUND(SUM(C5:T5),0)</f>
        <v>706081</v>
      </c>
      <c r="W5" s="3">
        <v>2</v>
      </c>
      <c r="X5" s="87">
        <v>26892.34</v>
      </c>
      <c r="Y5" s="29" t="s">
        <v>157</v>
      </c>
      <c r="Z5" s="29" t="s">
        <v>158</v>
      </c>
      <c r="AA5" s="27" t="s">
        <v>161</v>
      </c>
      <c r="AC5" s="27" t="s">
        <v>162</v>
      </c>
      <c r="AD5" s="27">
        <v>2005</v>
      </c>
      <c r="AE5" s="27">
        <v>10</v>
      </c>
      <c r="AF5" s="27">
        <v>41.24</v>
      </c>
      <c r="AG5" s="86">
        <f>POWER(AF5/AF3,1/9)-1</f>
        <v>1.3504537197825073E-2</v>
      </c>
    </row>
    <row r="6" spans="1:33">
      <c r="B6" s="3">
        <v>2018</v>
      </c>
      <c r="C6" s="10">
        <f>C5</f>
        <v>112517.36657849001</v>
      </c>
      <c r="D6" s="10">
        <f t="shared" ref="D6:E6" si="0">D5</f>
        <v>74930.612070076197</v>
      </c>
      <c r="E6" s="10">
        <f t="shared" si="0"/>
        <v>11915.520498939966</v>
      </c>
      <c r="F6" s="10">
        <f t="shared" ref="F6:K6" si="1">F5</f>
        <v>15238.610479135685</v>
      </c>
      <c r="G6" s="10">
        <f t="shared" si="1"/>
        <v>5496.499010070037</v>
      </c>
      <c r="H6" s="10">
        <f t="shared" si="1"/>
        <v>10318.078367237735</v>
      </c>
      <c r="I6" s="10">
        <f t="shared" si="1"/>
        <v>21569.317109114898</v>
      </c>
      <c r="J6" s="10">
        <f t="shared" si="1"/>
        <v>34282.456320179313</v>
      </c>
      <c r="K6" s="10">
        <f t="shared" si="1"/>
        <v>41662.704729652083</v>
      </c>
      <c r="L6" s="10">
        <f t="shared" ref="L6:T6" si="2">L5</f>
        <v>73555.043209259384</v>
      </c>
      <c r="M6" s="10">
        <f t="shared" si="2"/>
        <v>71965.093867656353</v>
      </c>
      <c r="N6" s="10">
        <f t="shared" si="2"/>
        <v>81053.774271392002</v>
      </c>
      <c r="O6" s="10">
        <f t="shared" si="2"/>
        <v>4373.4812208112153</v>
      </c>
      <c r="P6" s="10">
        <f t="shared" si="2"/>
        <v>6550.4689900704134</v>
      </c>
      <c r="Q6" s="10">
        <f t="shared" si="2"/>
        <v>8312.7796954170317</v>
      </c>
      <c r="R6" s="10">
        <f t="shared" si="2"/>
        <v>73075.487467183048</v>
      </c>
      <c r="S6" s="10">
        <f t="shared" si="2"/>
        <v>8596.9308745686012</v>
      </c>
      <c r="T6" s="10">
        <f t="shared" si="2"/>
        <v>50667.034835434672</v>
      </c>
      <c r="U6" s="13">
        <f t="shared" ref="U6:U44" si="3">ROUND(SUM(C6:T6),0)</f>
        <v>706081</v>
      </c>
      <c r="W6" s="3">
        <v>3</v>
      </c>
      <c r="X6" s="87">
        <v>7443.17</v>
      </c>
      <c r="Y6" s="29" t="s">
        <v>157</v>
      </c>
      <c r="Z6" s="29" t="s">
        <v>163</v>
      </c>
      <c r="AA6" s="27" t="s">
        <v>159</v>
      </c>
      <c r="AC6" s="27" t="s">
        <v>164</v>
      </c>
      <c r="AD6" s="27">
        <v>2000</v>
      </c>
      <c r="AE6" s="27">
        <v>15</v>
      </c>
      <c r="AF6" s="27">
        <v>42.15</v>
      </c>
      <c r="AG6" s="86">
        <f>POWER(AF6/AF3,1/14)-1</f>
        <v>1.0234409695639712E-2</v>
      </c>
    </row>
    <row r="7" spans="1:33">
      <c r="B7" s="3">
        <v>2019</v>
      </c>
      <c r="C7" s="10">
        <f t="shared" ref="C7:C44" si="4">C6</f>
        <v>112517.36657849001</v>
      </c>
      <c r="D7" s="10">
        <f t="shared" ref="D7:D44" si="5">D6</f>
        <v>74930.612070076197</v>
      </c>
      <c r="E7" s="10">
        <f t="shared" ref="E7:K44" si="6">E6</f>
        <v>11915.520498939966</v>
      </c>
      <c r="F7" s="10">
        <f t="shared" si="6"/>
        <v>15238.610479135685</v>
      </c>
      <c r="G7" s="10">
        <f t="shared" si="6"/>
        <v>5496.499010070037</v>
      </c>
      <c r="H7" s="10">
        <f t="shared" si="6"/>
        <v>10318.078367237735</v>
      </c>
      <c r="I7" s="10">
        <f t="shared" si="6"/>
        <v>21569.317109114898</v>
      </c>
      <c r="J7" s="10">
        <f t="shared" si="6"/>
        <v>34282.456320179313</v>
      </c>
      <c r="K7" s="10">
        <f t="shared" si="6"/>
        <v>41662.704729652083</v>
      </c>
      <c r="L7" s="10">
        <f t="shared" ref="L7:L44" si="7">L6</f>
        <v>73555.043209259384</v>
      </c>
      <c r="M7" s="10">
        <f t="shared" ref="M7:M44" si="8">M6</f>
        <v>71965.093867656353</v>
      </c>
      <c r="N7" s="10">
        <f t="shared" ref="N7:N44" si="9">N6</f>
        <v>81053.774271392002</v>
      </c>
      <c r="O7" s="10">
        <f t="shared" ref="O7:O44" si="10">O6</f>
        <v>4373.4812208112153</v>
      </c>
      <c r="P7" s="10">
        <f t="shared" ref="P7:P44" si="11">P6</f>
        <v>6550.4689900704134</v>
      </c>
      <c r="Q7" s="10">
        <f t="shared" ref="Q7:Q44" si="12">Q6</f>
        <v>8312.7796954170317</v>
      </c>
      <c r="R7" s="10">
        <f t="shared" ref="R7:R44" si="13">R6</f>
        <v>73075.487467183048</v>
      </c>
      <c r="S7" s="10">
        <f t="shared" ref="S7:S44" si="14">S6</f>
        <v>8596.9308745686012</v>
      </c>
      <c r="T7" s="10">
        <f t="shared" ref="T7:T44" si="15">T6</f>
        <v>50667.034835434672</v>
      </c>
      <c r="U7" s="13">
        <f t="shared" si="3"/>
        <v>706081</v>
      </c>
      <c r="W7" s="3">
        <v>4</v>
      </c>
      <c r="X7" s="87">
        <v>7803.22</v>
      </c>
      <c r="Y7" s="29" t="s">
        <v>157</v>
      </c>
      <c r="Z7" s="29" t="s">
        <v>163</v>
      </c>
      <c r="AA7" s="27" t="s">
        <v>161</v>
      </c>
      <c r="AC7" s="108" t="s">
        <v>165</v>
      </c>
      <c r="AD7" s="108"/>
      <c r="AE7" s="108"/>
      <c r="AF7" s="108"/>
      <c r="AG7" s="108"/>
    </row>
    <row r="8" spans="1:33">
      <c r="B8" s="3">
        <v>2020</v>
      </c>
      <c r="C8" s="10">
        <f t="shared" si="4"/>
        <v>112517.36657849001</v>
      </c>
      <c r="D8" s="10">
        <f t="shared" si="5"/>
        <v>74930.612070076197</v>
      </c>
      <c r="E8" s="10">
        <f t="shared" si="6"/>
        <v>11915.520498939966</v>
      </c>
      <c r="F8" s="10">
        <f t="shared" si="6"/>
        <v>15238.610479135685</v>
      </c>
      <c r="G8" s="10">
        <f t="shared" si="6"/>
        <v>5496.499010070037</v>
      </c>
      <c r="H8" s="10">
        <f t="shared" si="6"/>
        <v>10318.078367237735</v>
      </c>
      <c r="I8" s="10">
        <f t="shared" si="6"/>
        <v>21569.317109114898</v>
      </c>
      <c r="J8" s="10">
        <f t="shared" si="6"/>
        <v>34282.456320179313</v>
      </c>
      <c r="K8" s="10">
        <f t="shared" si="6"/>
        <v>41662.704729652083</v>
      </c>
      <c r="L8" s="10">
        <f t="shared" si="7"/>
        <v>73555.043209259384</v>
      </c>
      <c r="M8" s="10">
        <f t="shared" si="8"/>
        <v>71965.093867656353</v>
      </c>
      <c r="N8" s="10">
        <f t="shared" si="9"/>
        <v>81053.774271392002</v>
      </c>
      <c r="O8" s="10">
        <f t="shared" si="10"/>
        <v>4373.4812208112153</v>
      </c>
      <c r="P8" s="10">
        <f t="shared" si="11"/>
        <v>6550.4689900704134</v>
      </c>
      <c r="Q8" s="10">
        <f t="shared" si="12"/>
        <v>8312.7796954170317</v>
      </c>
      <c r="R8" s="10">
        <f t="shared" si="13"/>
        <v>73075.487467183048</v>
      </c>
      <c r="S8" s="10">
        <f t="shared" si="14"/>
        <v>8596.9308745686012</v>
      </c>
      <c r="T8" s="10">
        <f t="shared" si="15"/>
        <v>50667.034835434672</v>
      </c>
      <c r="U8" s="13">
        <f t="shared" si="3"/>
        <v>706081</v>
      </c>
      <c r="W8" s="3">
        <v>5</v>
      </c>
      <c r="X8" s="87">
        <v>3374.91</v>
      </c>
      <c r="Y8" s="29" t="s">
        <v>157</v>
      </c>
      <c r="Z8" s="29" t="s">
        <v>166</v>
      </c>
      <c r="AA8" s="27" t="s">
        <v>159</v>
      </c>
      <c r="AC8" s="108"/>
      <c r="AD8" s="108"/>
      <c r="AE8" s="108"/>
      <c r="AF8" s="108"/>
      <c r="AG8" s="108"/>
    </row>
    <row r="9" spans="1:33">
      <c r="B9" s="3">
        <v>2021</v>
      </c>
      <c r="C9" s="10">
        <f t="shared" si="4"/>
        <v>112517.36657849001</v>
      </c>
      <c r="D9" s="10">
        <f>D8</f>
        <v>74930.612070076197</v>
      </c>
      <c r="E9" s="10">
        <f t="shared" si="6"/>
        <v>11915.520498939966</v>
      </c>
      <c r="F9" s="10">
        <f t="shared" si="6"/>
        <v>15238.610479135685</v>
      </c>
      <c r="G9" s="10">
        <f t="shared" si="6"/>
        <v>5496.499010070037</v>
      </c>
      <c r="H9" s="10">
        <f t="shared" si="6"/>
        <v>10318.078367237735</v>
      </c>
      <c r="I9" s="10">
        <f t="shared" si="6"/>
        <v>21569.317109114898</v>
      </c>
      <c r="J9" s="10">
        <f t="shared" si="6"/>
        <v>34282.456320179313</v>
      </c>
      <c r="K9" s="10">
        <f t="shared" si="6"/>
        <v>41662.704729652083</v>
      </c>
      <c r="L9" s="10">
        <f t="shared" si="7"/>
        <v>73555.043209259384</v>
      </c>
      <c r="M9" s="10">
        <f t="shared" si="8"/>
        <v>71965.093867656353</v>
      </c>
      <c r="N9" s="10">
        <f t="shared" si="9"/>
        <v>81053.774271392002</v>
      </c>
      <c r="O9" s="10">
        <f t="shared" si="10"/>
        <v>4373.4812208112153</v>
      </c>
      <c r="P9" s="10">
        <f t="shared" si="11"/>
        <v>6550.4689900704134</v>
      </c>
      <c r="Q9" s="10">
        <f t="shared" si="12"/>
        <v>8312.7796954170317</v>
      </c>
      <c r="R9" s="10">
        <f t="shared" si="13"/>
        <v>73075.487467183048</v>
      </c>
      <c r="S9" s="10">
        <f t="shared" si="14"/>
        <v>8596.9308745686012</v>
      </c>
      <c r="T9" s="10">
        <f t="shared" si="15"/>
        <v>50667.034835434672</v>
      </c>
      <c r="U9" s="13">
        <f t="shared" si="3"/>
        <v>706081</v>
      </c>
      <c r="W9" s="3">
        <v>6</v>
      </c>
      <c r="X9" s="87">
        <v>4383.18</v>
      </c>
      <c r="Y9" s="29" t="s">
        <v>157</v>
      </c>
      <c r="Z9" s="29" t="s">
        <v>166</v>
      </c>
      <c r="AA9" s="27" t="s">
        <v>161</v>
      </c>
      <c r="AC9" s="108"/>
      <c r="AD9" s="108"/>
      <c r="AE9" s="108"/>
      <c r="AF9" s="108"/>
      <c r="AG9" s="108"/>
    </row>
    <row r="10" spans="1:33">
      <c r="B10" s="3">
        <v>2022</v>
      </c>
      <c r="C10" s="10">
        <f t="shared" si="4"/>
        <v>112517.36657849001</v>
      </c>
      <c r="D10" s="10">
        <f t="shared" si="5"/>
        <v>74930.612070076197</v>
      </c>
      <c r="E10" s="10">
        <f t="shared" si="6"/>
        <v>11915.520498939966</v>
      </c>
      <c r="F10" s="10">
        <f t="shared" si="6"/>
        <v>15238.610479135685</v>
      </c>
      <c r="G10" s="10">
        <f t="shared" si="6"/>
        <v>5496.499010070037</v>
      </c>
      <c r="H10" s="10">
        <f t="shared" si="6"/>
        <v>10318.078367237735</v>
      </c>
      <c r="I10" s="10">
        <f t="shared" si="6"/>
        <v>21569.317109114898</v>
      </c>
      <c r="J10" s="10">
        <f t="shared" si="6"/>
        <v>34282.456320179313</v>
      </c>
      <c r="K10" s="10">
        <f t="shared" si="6"/>
        <v>41662.704729652083</v>
      </c>
      <c r="L10" s="10">
        <f t="shared" si="7"/>
        <v>73555.043209259384</v>
      </c>
      <c r="M10" s="10">
        <f t="shared" si="8"/>
        <v>71965.093867656353</v>
      </c>
      <c r="N10" s="10">
        <f t="shared" si="9"/>
        <v>81053.774271392002</v>
      </c>
      <c r="O10" s="10">
        <f t="shared" si="10"/>
        <v>4373.4812208112153</v>
      </c>
      <c r="P10" s="10">
        <f t="shared" si="11"/>
        <v>6550.4689900704134</v>
      </c>
      <c r="Q10" s="10">
        <f t="shared" si="12"/>
        <v>8312.7796954170317</v>
      </c>
      <c r="R10" s="10">
        <f t="shared" si="13"/>
        <v>73075.487467183048</v>
      </c>
      <c r="S10" s="10">
        <f t="shared" si="14"/>
        <v>8596.9308745686012</v>
      </c>
      <c r="T10" s="10">
        <f t="shared" si="15"/>
        <v>50667.034835434672</v>
      </c>
      <c r="U10" s="13">
        <f t="shared" si="3"/>
        <v>706081</v>
      </c>
      <c r="W10" s="3">
        <v>7</v>
      </c>
      <c r="X10" s="87">
        <v>11692.04</v>
      </c>
      <c r="Y10" s="29" t="s">
        <v>167</v>
      </c>
      <c r="Z10" s="29" t="s">
        <v>158</v>
      </c>
      <c r="AA10" s="27" t="s">
        <v>161</v>
      </c>
    </row>
    <row r="11" spans="1:33" ht="12.95">
      <c r="B11" s="3">
        <v>2023</v>
      </c>
      <c r="C11" s="10">
        <f t="shared" si="4"/>
        <v>112517.36657849001</v>
      </c>
      <c r="D11" s="10">
        <f t="shared" si="5"/>
        <v>74930.612070076197</v>
      </c>
      <c r="E11" s="10">
        <f t="shared" si="6"/>
        <v>11915.520498939966</v>
      </c>
      <c r="F11" s="10">
        <f t="shared" si="6"/>
        <v>15238.610479135685</v>
      </c>
      <c r="G11" s="10">
        <f t="shared" si="6"/>
        <v>5496.499010070037</v>
      </c>
      <c r="H11" s="10">
        <f t="shared" si="6"/>
        <v>10318.078367237735</v>
      </c>
      <c r="I11" s="10">
        <f t="shared" si="6"/>
        <v>21569.317109114898</v>
      </c>
      <c r="J11" s="10">
        <f t="shared" si="6"/>
        <v>34282.456320179313</v>
      </c>
      <c r="K11" s="10">
        <f t="shared" si="6"/>
        <v>41662.704729652083</v>
      </c>
      <c r="L11" s="10">
        <f t="shared" si="7"/>
        <v>73555.043209259384</v>
      </c>
      <c r="M11" s="10">
        <f t="shared" si="8"/>
        <v>71965.093867656353</v>
      </c>
      <c r="N11" s="10">
        <f t="shared" si="9"/>
        <v>81053.774271392002</v>
      </c>
      <c r="O11" s="10">
        <f t="shared" si="10"/>
        <v>4373.4812208112153</v>
      </c>
      <c r="P11" s="10">
        <f t="shared" si="11"/>
        <v>6550.4689900704134</v>
      </c>
      <c r="Q11" s="10">
        <f t="shared" si="12"/>
        <v>8312.7796954170317</v>
      </c>
      <c r="R11" s="10">
        <f t="shared" si="13"/>
        <v>73075.487467183048</v>
      </c>
      <c r="S11" s="10">
        <f t="shared" si="14"/>
        <v>8596.9308745686012</v>
      </c>
      <c r="T11" s="10">
        <f t="shared" si="15"/>
        <v>50667.034835434672</v>
      </c>
      <c r="U11" s="13">
        <f t="shared" si="3"/>
        <v>706081</v>
      </c>
      <c r="W11" s="3">
        <v>8</v>
      </c>
      <c r="X11" s="87">
        <v>12576.56</v>
      </c>
      <c r="Y11" s="29" t="s">
        <v>167</v>
      </c>
      <c r="Z11" s="29" t="s">
        <v>158</v>
      </c>
      <c r="AA11" s="27" t="s">
        <v>168</v>
      </c>
      <c r="AC11" s="6"/>
      <c r="AD11" s="6"/>
      <c r="AE11" s="6"/>
      <c r="AF11" s="6"/>
      <c r="AG11" s="84"/>
    </row>
    <row r="12" spans="1:33">
      <c r="B12" s="3">
        <v>2024</v>
      </c>
      <c r="C12" s="10">
        <f t="shared" si="4"/>
        <v>112517.36657849001</v>
      </c>
      <c r="D12" s="10">
        <f t="shared" si="5"/>
        <v>74930.612070076197</v>
      </c>
      <c r="E12" s="10">
        <f t="shared" si="6"/>
        <v>11915.520498939966</v>
      </c>
      <c r="F12" s="10">
        <f t="shared" si="6"/>
        <v>15238.610479135685</v>
      </c>
      <c r="G12" s="10">
        <f t="shared" si="6"/>
        <v>5496.499010070037</v>
      </c>
      <c r="H12" s="10">
        <f t="shared" si="6"/>
        <v>10318.078367237735</v>
      </c>
      <c r="I12" s="10">
        <f t="shared" si="6"/>
        <v>21569.317109114898</v>
      </c>
      <c r="J12" s="10">
        <f t="shared" si="6"/>
        <v>34282.456320179313</v>
      </c>
      <c r="K12" s="10">
        <f t="shared" si="6"/>
        <v>41662.704729652083</v>
      </c>
      <c r="L12" s="10">
        <f t="shared" si="7"/>
        <v>73555.043209259384</v>
      </c>
      <c r="M12" s="10">
        <f t="shared" si="8"/>
        <v>71965.093867656353</v>
      </c>
      <c r="N12" s="10">
        <f t="shared" si="9"/>
        <v>81053.774271392002</v>
      </c>
      <c r="O12" s="10">
        <f t="shared" si="10"/>
        <v>4373.4812208112153</v>
      </c>
      <c r="P12" s="10">
        <f t="shared" si="11"/>
        <v>6550.4689900704134</v>
      </c>
      <c r="Q12" s="10">
        <f t="shared" si="12"/>
        <v>8312.7796954170317</v>
      </c>
      <c r="R12" s="10">
        <f t="shared" si="13"/>
        <v>73075.487467183048</v>
      </c>
      <c r="S12" s="10">
        <f t="shared" si="14"/>
        <v>8596.9308745686012</v>
      </c>
      <c r="T12" s="10">
        <f t="shared" si="15"/>
        <v>50667.034835434672</v>
      </c>
      <c r="U12" s="13">
        <f t="shared" si="3"/>
        <v>706081</v>
      </c>
      <c r="W12" s="3">
        <v>9</v>
      </c>
      <c r="X12" s="87">
        <v>14805.05</v>
      </c>
      <c r="Y12" s="29" t="s">
        <v>167</v>
      </c>
      <c r="Z12" s="29" t="s">
        <v>163</v>
      </c>
      <c r="AA12" s="27" t="s">
        <v>161</v>
      </c>
    </row>
    <row r="13" spans="1:33">
      <c r="B13" s="3">
        <v>2025</v>
      </c>
      <c r="C13" s="10">
        <f t="shared" si="4"/>
        <v>112517.36657849001</v>
      </c>
      <c r="D13" s="10">
        <f t="shared" si="5"/>
        <v>74930.612070076197</v>
      </c>
      <c r="E13" s="10">
        <f t="shared" si="6"/>
        <v>11915.520498939966</v>
      </c>
      <c r="F13" s="10">
        <f t="shared" si="6"/>
        <v>15238.610479135685</v>
      </c>
      <c r="G13" s="10">
        <f t="shared" ref="G13:K13" si="16">G12</f>
        <v>5496.499010070037</v>
      </c>
      <c r="H13" s="10">
        <f t="shared" si="16"/>
        <v>10318.078367237735</v>
      </c>
      <c r="I13" s="10">
        <f t="shared" si="16"/>
        <v>21569.317109114898</v>
      </c>
      <c r="J13" s="10">
        <f t="shared" si="16"/>
        <v>34282.456320179313</v>
      </c>
      <c r="K13" s="10">
        <f t="shared" si="16"/>
        <v>41662.704729652083</v>
      </c>
      <c r="L13" s="10">
        <f t="shared" si="7"/>
        <v>73555.043209259384</v>
      </c>
      <c r="M13" s="10">
        <f t="shared" si="8"/>
        <v>71965.093867656353</v>
      </c>
      <c r="N13" s="10">
        <f t="shared" si="9"/>
        <v>81053.774271392002</v>
      </c>
      <c r="O13" s="10">
        <f t="shared" si="10"/>
        <v>4373.4812208112153</v>
      </c>
      <c r="P13" s="10">
        <f t="shared" si="11"/>
        <v>6550.4689900704134</v>
      </c>
      <c r="Q13" s="10">
        <f t="shared" si="12"/>
        <v>8312.7796954170317</v>
      </c>
      <c r="R13" s="10">
        <f t="shared" si="13"/>
        <v>73075.487467183048</v>
      </c>
      <c r="S13" s="10">
        <f t="shared" si="14"/>
        <v>8596.9308745686012</v>
      </c>
      <c r="T13" s="10">
        <f t="shared" si="15"/>
        <v>50667.034835434672</v>
      </c>
      <c r="U13" s="13">
        <f t="shared" si="3"/>
        <v>706081</v>
      </c>
      <c r="W13" s="3">
        <v>10</v>
      </c>
      <c r="X13" s="87">
        <v>21153.68</v>
      </c>
      <c r="Y13" s="27" t="s">
        <v>167</v>
      </c>
      <c r="Z13" s="29" t="s">
        <v>163</v>
      </c>
      <c r="AA13" s="27" t="s">
        <v>168</v>
      </c>
    </row>
    <row r="14" spans="1:33">
      <c r="B14" s="3">
        <v>2026</v>
      </c>
      <c r="C14" s="10">
        <f t="shared" si="4"/>
        <v>112517.36657849001</v>
      </c>
      <c r="D14" s="10">
        <f t="shared" si="5"/>
        <v>74930.612070076197</v>
      </c>
      <c r="E14" s="10">
        <f t="shared" si="6"/>
        <v>11915.520498939966</v>
      </c>
      <c r="F14" s="10">
        <f t="shared" si="6"/>
        <v>15238.610479135685</v>
      </c>
      <c r="G14" s="10">
        <f t="shared" ref="G14:K14" si="17">G13</f>
        <v>5496.499010070037</v>
      </c>
      <c r="H14" s="10">
        <f t="shared" si="17"/>
        <v>10318.078367237735</v>
      </c>
      <c r="I14" s="10">
        <f t="shared" si="17"/>
        <v>21569.317109114898</v>
      </c>
      <c r="J14" s="10">
        <f t="shared" si="17"/>
        <v>34282.456320179313</v>
      </c>
      <c r="K14" s="10">
        <f t="shared" si="17"/>
        <v>41662.704729652083</v>
      </c>
      <c r="L14" s="10">
        <f t="shared" si="7"/>
        <v>73555.043209259384</v>
      </c>
      <c r="M14" s="10">
        <f t="shared" si="8"/>
        <v>71965.093867656353</v>
      </c>
      <c r="N14" s="10">
        <f t="shared" si="9"/>
        <v>81053.774271392002</v>
      </c>
      <c r="O14" s="10">
        <f t="shared" si="10"/>
        <v>4373.4812208112153</v>
      </c>
      <c r="P14" s="10">
        <f t="shared" si="11"/>
        <v>6550.4689900704134</v>
      </c>
      <c r="Q14" s="10">
        <f t="shared" si="12"/>
        <v>8312.7796954170317</v>
      </c>
      <c r="R14" s="10">
        <f t="shared" si="13"/>
        <v>73075.487467183048</v>
      </c>
      <c r="S14" s="10">
        <f t="shared" si="14"/>
        <v>8596.9308745686012</v>
      </c>
      <c r="T14" s="10">
        <f t="shared" si="15"/>
        <v>50667.034835434672</v>
      </c>
      <c r="U14" s="13">
        <f t="shared" si="3"/>
        <v>706081</v>
      </c>
      <c r="W14" s="3">
        <v>11</v>
      </c>
      <c r="X14" s="87">
        <v>21374.62</v>
      </c>
      <c r="Y14" s="27" t="s">
        <v>167</v>
      </c>
      <c r="Z14" s="29" t="s">
        <v>166</v>
      </c>
      <c r="AA14" s="27" t="s">
        <v>161</v>
      </c>
    </row>
    <row r="15" spans="1:33">
      <c r="B15" s="3">
        <v>2027</v>
      </c>
      <c r="C15" s="10">
        <f t="shared" si="4"/>
        <v>112517.36657849001</v>
      </c>
      <c r="D15" s="10">
        <f t="shared" si="5"/>
        <v>74930.612070076197</v>
      </c>
      <c r="E15" s="10">
        <f t="shared" si="6"/>
        <v>11915.520498939966</v>
      </c>
      <c r="F15" s="10">
        <f t="shared" si="6"/>
        <v>15238.610479135685</v>
      </c>
      <c r="G15" s="10">
        <f t="shared" ref="G15:K15" si="18">G14</f>
        <v>5496.499010070037</v>
      </c>
      <c r="H15" s="10">
        <f t="shared" si="18"/>
        <v>10318.078367237735</v>
      </c>
      <c r="I15" s="10">
        <f t="shared" si="18"/>
        <v>21569.317109114898</v>
      </c>
      <c r="J15" s="10">
        <f t="shared" si="18"/>
        <v>34282.456320179313</v>
      </c>
      <c r="K15" s="10">
        <f t="shared" si="18"/>
        <v>41662.704729652083</v>
      </c>
      <c r="L15" s="10">
        <f t="shared" si="7"/>
        <v>73555.043209259384</v>
      </c>
      <c r="M15" s="10">
        <f t="shared" si="8"/>
        <v>71965.093867656353</v>
      </c>
      <c r="N15" s="10">
        <f t="shared" si="9"/>
        <v>81053.774271392002</v>
      </c>
      <c r="O15" s="10">
        <f t="shared" si="10"/>
        <v>4373.4812208112153</v>
      </c>
      <c r="P15" s="10">
        <f t="shared" si="11"/>
        <v>6550.4689900704134</v>
      </c>
      <c r="Q15" s="10">
        <f t="shared" si="12"/>
        <v>8312.7796954170317</v>
      </c>
      <c r="R15" s="10">
        <f t="shared" si="13"/>
        <v>73075.487467183048</v>
      </c>
      <c r="S15" s="10">
        <f t="shared" si="14"/>
        <v>8596.9308745686012</v>
      </c>
      <c r="T15" s="10">
        <f t="shared" si="15"/>
        <v>50667.034835434672</v>
      </c>
      <c r="U15" s="13">
        <f t="shared" si="3"/>
        <v>706081</v>
      </c>
      <c r="W15" s="3">
        <v>12</v>
      </c>
      <c r="X15" s="87">
        <v>26652.6</v>
      </c>
      <c r="Y15" s="27" t="s">
        <v>167</v>
      </c>
      <c r="Z15" s="29" t="s">
        <v>166</v>
      </c>
      <c r="AA15" s="27" t="s">
        <v>168</v>
      </c>
    </row>
    <row r="16" spans="1:33">
      <c r="B16" s="3">
        <v>2028</v>
      </c>
      <c r="C16" s="10">
        <f t="shared" si="4"/>
        <v>112517.36657849001</v>
      </c>
      <c r="D16" s="10">
        <f t="shared" si="5"/>
        <v>74930.612070076197</v>
      </c>
      <c r="E16" s="10">
        <f t="shared" si="6"/>
        <v>11915.520498939966</v>
      </c>
      <c r="F16" s="10">
        <f t="shared" si="6"/>
        <v>15238.610479135685</v>
      </c>
      <c r="G16" s="10">
        <f t="shared" ref="G16:K16" si="19">G15</f>
        <v>5496.499010070037</v>
      </c>
      <c r="H16" s="10">
        <f t="shared" si="19"/>
        <v>10318.078367237735</v>
      </c>
      <c r="I16" s="10">
        <f t="shared" si="19"/>
        <v>21569.317109114898</v>
      </c>
      <c r="J16" s="10">
        <f t="shared" si="19"/>
        <v>34282.456320179313</v>
      </c>
      <c r="K16" s="10">
        <f t="shared" si="19"/>
        <v>41662.704729652083</v>
      </c>
      <c r="L16" s="10">
        <f t="shared" si="7"/>
        <v>73555.043209259384</v>
      </c>
      <c r="M16" s="10">
        <f t="shared" si="8"/>
        <v>71965.093867656353</v>
      </c>
      <c r="N16" s="10">
        <f t="shared" si="9"/>
        <v>81053.774271392002</v>
      </c>
      <c r="O16" s="10">
        <f t="shared" si="10"/>
        <v>4373.4812208112153</v>
      </c>
      <c r="P16" s="10">
        <f t="shared" si="11"/>
        <v>6550.4689900704134</v>
      </c>
      <c r="Q16" s="10">
        <f t="shared" si="12"/>
        <v>8312.7796954170317</v>
      </c>
      <c r="R16" s="10">
        <f t="shared" si="13"/>
        <v>73075.487467183048</v>
      </c>
      <c r="S16" s="10">
        <f t="shared" si="14"/>
        <v>8596.9308745686012</v>
      </c>
      <c r="T16" s="10">
        <f t="shared" si="15"/>
        <v>50667.034835434672</v>
      </c>
      <c r="U16" s="13">
        <f t="shared" si="3"/>
        <v>706081</v>
      </c>
      <c r="W16" s="3">
        <v>13</v>
      </c>
      <c r="X16" s="87">
        <v>2083.39</v>
      </c>
      <c r="Y16" s="27" t="s">
        <v>169</v>
      </c>
      <c r="Z16" s="29" t="s">
        <v>158</v>
      </c>
      <c r="AA16" s="27" t="s">
        <v>161</v>
      </c>
    </row>
    <row r="17" spans="2:29">
      <c r="B17" s="3">
        <v>2029</v>
      </c>
      <c r="C17" s="10">
        <f t="shared" si="4"/>
        <v>112517.36657849001</v>
      </c>
      <c r="D17" s="10">
        <f t="shared" si="5"/>
        <v>74930.612070076197</v>
      </c>
      <c r="E17" s="10">
        <f t="shared" si="6"/>
        <v>11915.520498939966</v>
      </c>
      <c r="F17" s="10">
        <f t="shared" ref="F17:K17" si="20">F16</f>
        <v>15238.610479135685</v>
      </c>
      <c r="G17" s="10">
        <f t="shared" si="20"/>
        <v>5496.499010070037</v>
      </c>
      <c r="H17" s="10">
        <f t="shared" si="20"/>
        <v>10318.078367237735</v>
      </c>
      <c r="I17" s="10">
        <f t="shared" si="20"/>
        <v>21569.317109114898</v>
      </c>
      <c r="J17" s="10">
        <f t="shared" si="20"/>
        <v>34282.456320179313</v>
      </c>
      <c r="K17" s="10">
        <f t="shared" si="20"/>
        <v>41662.704729652083</v>
      </c>
      <c r="L17" s="10">
        <f t="shared" si="7"/>
        <v>73555.043209259384</v>
      </c>
      <c r="M17" s="10">
        <f t="shared" si="8"/>
        <v>71965.093867656353</v>
      </c>
      <c r="N17" s="10">
        <f t="shared" si="9"/>
        <v>81053.774271392002</v>
      </c>
      <c r="O17" s="10">
        <f t="shared" si="10"/>
        <v>4373.4812208112153</v>
      </c>
      <c r="P17" s="10">
        <f t="shared" si="11"/>
        <v>6550.4689900704134</v>
      </c>
      <c r="Q17" s="10">
        <f t="shared" si="12"/>
        <v>8312.7796954170317</v>
      </c>
      <c r="R17" s="10">
        <f t="shared" si="13"/>
        <v>73075.487467183048</v>
      </c>
      <c r="S17" s="10">
        <f t="shared" si="14"/>
        <v>8596.9308745686012</v>
      </c>
      <c r="T17" s="10">
        <f t="shared" si="15"/>
        <v>50667.034835434672</v>
      </c>
      <c r="U17" s="13">
        <f t="shared" si="3"/>
        <v>706081</v>
      </c>
      <c r="W17" s="3">
        <v>14</v>
      </c>
      <c r="X17" s="87">
        <v>2194.31</v>
      </c>
      <c r="Y17" s="27" t="s">
        <v>169</v>
      </c>
      <c r="Z17" s="29" t="s">
        <v>158</v>
      </c>
      <c r="AA17" s="27" t="s">
        <v>168</v>
      </c>
    </row>
    <row r="18" spans="2:29">
      <c r="B18" s="3">
        <v>2030</v>
      </c>
      <c r="C18" s="10">
        <f t="shared" si="4"/>
        <v>112517.36657849001</v>
      </c>
      <c r="D18" s="10">
        <f t="shared" si="5"/>
        <v>74930.612070076197</v>
      </c>
      <c r="E18" s="10">
        <f t="shared" si="6"/>
        <v>11915.520498939966</v>
      </c>
      <c r="F18" s="10">
        <f t="shared" ref="F18:K18" si="21">F17</f>
        <v>15238.610479135685</v>
      </c>
      <c r="G18" s="10">
        <f t="shared" si="21"/>
        <v>5496.499010070037</v>
      </c>
      <c r="H18" s="10">
        <f t="shared" si="21"/>
        <v>10318.078367237735</v>
      </c>
      <c r="I18" s="10">
        <f t="shared" si="21"/>
        <v>21569.317109114898</v>
      </c>
      <c r="J18" s="10">
        <f t="shared" si="21"/>
        <v>34282.456320179313</v>
      </c>
      <c r="K18" s="10">
        <f t="shared" si="21"/>
        <v>41662.704729652083</v>
      </c>
      <c r="L18" s="10">
        <f t="shared" si="7"/>
        <v>73555.043209259384</v>
      </c>
      <c r="M18" s="10">
        <f t="shared" si="8"/>
        <v>71965.093867656353</v>
      </c>
      <c r="N18" s="10">
        <f t="shared" si="9"/>
        <v>81053.774271392002</v>
      </c>
      <c r="O18" s="10">
        <f t="shared" si="10"/>
        <v>4373.4812208112153</v>
      </c>
      <c r="P18" s="10">
        <f t="shared" si="11"/>
        <v>6550.4689900704134</v>
      </c>
      <c r="Q18" s="10">
        <f t="shared" si="12"/>
        <v>8312.7796954170317</v>
      </c>
      <c r="R18" s="10">
        <f t="shared" si="13"/>
        <v>73075.487467183048</v>
      </c>
      <c r="S18" s="10">
        <f t="shared" si="14"/>
        <v>8596.9308745686012</v>
      </c>
      <c r="T18" s="10">
        <f t="shared" si="15"/>
        <v>50667.034835434672</v>
      </c>
      <c r="U18" s="13">
        <f t="shared" si="3"/>
        <v>706081</v>
      </c>
      <c r="W18" s="3">
        <v>15</v>
      </c>
      <c r="X18" s="87">
        <v>3034.93</v>
      </c>
      <c r="Y18" s="27" t="s">
        <v>169</v>
      </c>
      <c r="Z18" s="29" t="s">
        <v>163</v>
      </c>
      <c r="AA18" s="27" t="s">
        <v>161</v>
      </c>
    </row>
    <row r="19" spans="2:29">
      <c r="B19" s="3">
        <v>2031</v>
      </c>
      <c r="C19" s="10">
        <f t="shared" si="4"/>
        <v>112517.36657849001</v>
      </c>
      <c r="D19" s="10">
        <f t="shared" si="5"/>
        <v>74930.612070076197</v>
      </c>
      <c r="E19" s="10">
        <f t="shared" si="6"/>
        <v>11915.520498939966</v>
      </c>
      <c r="F19" s="10">
        <f t="shared" ref="F19:K19" si="22">F18</f>
        <v>15238.610479135685</v>
      </c>
      <c r="G19" s="10">
        <f t="shared" si="22"/>
        <v>5496.499010070037</v>
      </c>
      <c r="H19" s="10">
        <f t="shared" si="22"/>
        <v>10318.078367237735</v>
      </c>
      <c r="I19" s="10">
        <f t="shared" si="22"/>
        <v>21569.317109114898</v>
      </c>
      <c r="J19" s="10">
        <f t="shared" si="22"/>
        <v>34282.456320179313</v>
      </c>
      <c r="K19" s="10">
        <f t="shared" si="22"/>
        <v>41662.704729652083</v>
      </c>
      <c r="L19" s="10">
        <f t="shared" si="7"/>
        <v>73555.043209259384</v>
      </c>
      <c r="M19" s="10">
        <f t="shared" si="8"/>
        <v>71965.093867656353</v>
      </c>
      <c r="N19" s="10">
        <f t="shared" si="9"/>
        <v>81053.774271392002</v>
      </c>
      <c r="O19" s="10">
        <f t="shared" si="10"/>
        <v>4373.4812208112153</v>
      </c>
      <c r="P19" s="10">
        <f t="shared" si="11"/>
        <v>6550.4689900704134</v>
      </c>
      <c r="Q19" s="10">
        <f t="shared" si="12"/>
        <v>8312.7796954170317</v>
      </c>
      <c r="R19" s="10">
        <f t="shared" si="13"/>
        <v>73075.487467183048</v>
      </c>
      <c r="S19" s="10">
        <f t="shared" si="14"/>
        <v>8596.9308745686012</v>
      </c>
      <c r="T19" s="10">
        <f t="shared" si="15"/>
        <v>50667.034835434672</v>
      </c>
      <c r="U19" s="13">
        <f t="shared" si="3"/>
        <v>706081</v>
      </c>
      <c r="W19" s="3">
        <v>16</v>
      </c>
      <c r="X19" s="87">
        <v>22762.37</v>
      </c>
      <c r="Y19" s="27" t="s">
        <v>169</v>
      </c>
      <c r="Z19" s="29" t="s">
        <v>163</v>
      </c>
      <c r="AA19" s="27" t="s">
        <v>168</v>
      </c>
    </row>
    <row r="20" spans="2:29">
      <c r="B20" s="3">
        <v>2032</v>
      </c>
      <c r="C20" s="10">
        <f t="shared" si="4"/>
        <v>112517.36657849001</v>
      </c>
      <c r="D20" s="10">
        <f t="shared" si="5"/>
        <v>74930.612070076197</v>
      </c>
      <c r="E20" s="10">
        <f t="shared" si="6"/>
        <v>11915.520498939966</v>
      </c>
      <c r="F20" s="10">
        <f t="shared" ref="F20:K20" si="23">F19</f>
        <v>15238.610479135685</v>
      </c>
      <c r="G20" s="10">
        <f t="shared" si="23"/>
        <v>5496.499010070037</v>
      </c>
      <c r="H20" s="10">
        <f t="shared" si="23"/>
        <v>10318.078367237735</v>
      </c>
      <c r="I20" s="10">
        <f t="shared" si="23"/>
        <v>21569.317109114898</v>
      </c>
      <c r="J20" s="10">
        <f t="shared" si="23"/>
        <v>34282.456320179313</v>
      </c>
      <c r="K20" s="10">
        <f t="shared" si="23"/>
        <v>41662.704729652083</v>
      </c>
      <c r="L20" s="10">
        <f t="shared" si="7"/>
        <v>73555.043209259384</v>
      </c>
      <c r="M20" s="10">
        <f t="shared" si="8"/>
        <v>71965.093867656353</v>
      </c>
      <c r="N20" s="10">
        <f t="shared" si="9"/>
        <v>81053.774271392002</v>
      </c>
      <c r="O20" s="10">
        <f t="shared" si="10"/>
        <v>4373.4812208112153</v>
      </c>
      <c r="P20" s="10">
        <f t="shared" si="11"/>
        <v>6550.4689900704134</v>
      </c>
      <c r="Q20" s="10">
        <f t="shared" si="12"/>
        <v>8312.7796954170317</v>
      </c>
      <c r="R20" s="10">
        <f t="shared" si="13"/>
        <v>73075.487467183048</v>
      </c>
      <c r="S20" s="10">
        <f t="shared" si="14"/>
        <v>8596.9308745686012</v>
      </c>
      <c r="T20" s="10">
        <f t="shared" si="15"/>
        <v>50667.034835434672</v>
      </c>
      <c r="U20" s="13">
        <f t="shared" si="3"/>
        <v>706081</v>
      </c>
      <c r="W20" s="3">
        <v>17</v>
      </c>
      <c r="X20" s="87">
        <v>3118.59</v>
      </c>
      <c r="Y20" s="27" t="s">
        <v>169</v>
      </c>
      <c r="Z20" s="29" t="s">
        <v>166</v>
      </c>
      <c r="AA20" s="27" t="s">
        <v>161</v>
      </c>
    </row>
    <row r="21" spans="2:29">
      <c r="B21" s="3">
        <v>2033</v>
      </c>
      <c r="C21" s="10">
        <f t="shared" si="4"/>
        <v>112517.36657849001</v>
      </c>
      <c r="D21" s="10">
        <f t="shared" si="5"/>
        <v>74930.612070076197</v>
      </c>
      <c r="E21" s="10">
        <f t="shared" si="6"/>
        <v>11915.520498939966</v>
      </c>
      <c r="F21" s="10">
        <f t="shared" ref="F21:K21" si="24">F20</f>
        <v>15238.610479135685</v>
      </c>
      <c r="G21" s="10">
        <f t="shared" si="24"/>
        <v>5496.499010070037</v>
      </c>
      <c r="H21" s="10">
        <f t="shared" si="24"/>
        <v>10318.078367237735</v>
      </c>
      <c r="I21" s="10">
        <f t="shared" si="24"/>
        <v>21569.317109114898</v>
      </c>
      <c r="J21" s="10">
        <f t="shared" si="24"/>
        <v>34282.456320179313</v>
      </c>
      <c r="K21" s="10">
        <f t="shared" si="24"/>
        <v>41662.704729652083</v>
      </c>
      <c r="L21" s="10">
        <f t="shared" si="7"/>
        <v>73555.043209259384</v>
      </c>
      <c r="M21" s="10">
        <f t="shared" si="8"/>
        <v>71965.093867656353</v>
      </c>
      <c r="N21" s="10">
        <f t="shared" si="9"/>
        <v>81053.774271392002</v>
      </c>
      <c r="O21" s="10">
        <f t="shared" si="10"/>
        <v>4373.4812208112153</v>
      </c>
      <c r="P21" s="10">
        <f t="shared" si="11"/>
        <v>6550.4689900704134</v>
      </c>
      <c r="Q21" s="10">
        <f t="shared" si="12"/>
        <v>8312.7796954170317</v>
      </c>
      <c r="R21" s="10">
        <f t="shared" si="13"/>
        <v>73075.487467183048</v>
      </c>
      <c r="S21" s="10">
        <f t="shared" si="14"/>
        <v>8596.9308745686012</v>
      </c>
      <c r="T21" s="10">
        <f t="shared" si="15"/>
        <v>50667.034835434672</v>
      </c>
      <c r="U21" s="13">
        <f t="shared" si="3"/>
        <v>706081</v>
      </c>
      <c r="W21" s="3">
        <v>18</v>
      </c>
      <c r="X21" s="87">
        <v>17704.939999999999</v>
      </c>
      <c r="Y21" s="27" t="s">
        <v>169</v>
      </c>
      <c r="Z21" s="29" t="s">
        <v>166</v>
      </c>
      <c r="AA21" s="27" t="s">
        <v>168</v>
      </c>
    </row>
    <row r="22" spans="2:29">
      <c r="B22" s="3">
        <v>2034</v>
      </c>
      <c r="C22" s="10">
        <f t="shared" si="4"/>
        <v>112517.36657849001</v>
      </c>
      <c r="D22" s="10">
        <f t="shared" si="5"/>
        <v>74930.612070076197</v>
      </c>
      <c r="E22" s="10">
        <f t="shared" si="6"/>
        <v>11915.520498939966</v>
      </c>
      <c r="F22" s="10">
        <f t="shared" ref="F22:K22" si="25">F21</f>
        <v>15238.610479135685</v>
      </c>
      <c r="G22" s="10">
        <f t="shared" si="25"/>
        <v>5496.499010070037</v>
      </c>
      <c r="H22" s="10">
        <f t="shared" si="25"/>
        <v>10318.078367237735</v>
      </c>
      <c r="I22" s="10">
        <f t="shared" si="25"/>
        <v>21569.317109114898</v>
      </c>
      <c r="J22" s="10">
        <f t="shared" si="25"/>
        <v>34282.456320179313</v>
      </c>
      <c r="K22" s="10">
        <f t="shared" si="25"/>
        <v>41662.704729652083</v>
      </c>
      <c r="L22" s="10">
        <f t="shared" si="7"/>
        <v>73555.043209259384</v>
      </c>
      <c r="M22" s="10">
        <f t="shared" si="8"/>
        <v>71965.093867656353</v>
      </c>
      <c r="N22" s="10">
        <f t="shared" si="9"/>
        <v>81053.774271392002</v>
      </c>
      <c r="O22" s="10">
        <f t="shared" si="10"/>
        <v>4373.4812208112153</v>
      </c>
      <c r="P22" s="10">
        <f t="shared" si="11"/>
        <v>6550.4689900704134</v>
      </c>
      <c r="Q22" s="10">
        <f t="shared" si="12"/>
        <v>8312.7796954170317</v>
      </c>
      <c r="R22" s="10">
        <f t="shared" si="13"/>
        <v>73075.487467183048</v>
      </c>
      <c r="S22" s="10">
        <f t="shared" si="14"/>
        <v>8596.9308745686012</v>
      </c>
      <c r="T22" s="10">
        <f t="shared" si="15"/>
        <v>50667.034835434672</v>
      </c>
      <c r="U22" s="13">
        <f t="shared" si="3"/>
        <v>706081</v>
      </c>
    </row>
    <row r="23" spans="2:29" ht="12.95">
      <c r="B23" s="3">
        <v>2035</v>
      </c>
      <c r="C23" s="10">
        <f t="shared" si="4"/>
        <v>112517.36657849001</v>
      </c>
      <c r="D23" s="10">
        <f t="shared" si="5"/>
        <v>74930.612070076197</v>
      </c>
      <c r="E23" s="10">
        <f t="shared" si="6"/>
        <v>11915.520498939966</v>
      </c>
      <c r="F23" s="10">
        <f t="shared" ref="F23:K23" si="26">F22</f>
        <v>15238.610479135685</v>
      </c>
      <c r="G23" s="10">
        <f t="shared" si="26"/>
        <v>5496.499010070037</v>
      </c>
      <c r="H23" s="10">
        <f t="shared" si="26"/>
        <v>10318.078367237735</v>
      </c>
      <c r="I23" s="10">
        <f t="shared" si="26"/>
        <v>21569.317109114898</v>
      </c>
      <c r="J23" s="10">
        <f t="shared" si="26"/>
        <v>34282.456320179313</v>
      </c>
      <c r="K23" s="10">
        <f t="shared" si="26"/>
        <v>41662.704729652083</v>
      </c>
      <c r="L23" s="10">
        <f t="shared" si="7"/>
        <v>73555.043209259384</v>
      </c>
      <c r="M23" s="10">
        <f t="shared" si="8"/>
        <v>71965.093867656353</v>
      </c>
      <c r="N23" s="10">
        <f t="shared" si="9"/>
        <v>81053.774271392002</v>
      </c>
      <c r="O23" s="10">
        <f t="shared" si="10"/>
        <v>4373.4812208112153</v>
      </c>
      <c r="P23" s="10">
        <f t="shared" si="11"/>
        <v>6550.4689900704134</v>
      </c>
      <c r="Q23" s="10">
        <f t="shared" si="12"/>
        <v>8312.7796954170317</v>
      </c>
      <c r="R23" s="10">
        <f t="shared" si="13"/>
        <v>73075.487467183048</v>
      </c>
      <c r="S23" s="10">
        <f t="shared" si="14"/>
        <v>8596.9308745686012</v>
      </c>
      <c r="T23" s="10">
        <f t="shared" si="15"/>
        <v>50667.034835434672</v>
      </c>
      <c r="U23" s="13">
        <f t="shared" si="3"/>
        <v>706081</v>
      </c>
      <c r="W23" s="88" t="s">
        <v>170</v>
      </c>
      <c r="X23" s="88"/>
      <c r="Y23" s="88"/>
      <c r="Z23" s="88"/>
      <c r="AA23" s="18">
        <f>AG6</f>
        <v>1.0234409695639712E-2</v>
      </c>
    </row>
    <row r="24" spans="2:29">
      <c r="B24" s="3">
        <v>2036</v>
      </c>
      <c r="C24" s="10">
        <f t="shared" si="4"/>
        <v>112517.36657849001</v>
      </c>
      <c r="D24" s="10">
        <f t="shared" si="5"/>
        <v>74930.612070076197</v>
      </c>
      <c r="E24" s="10">
        <f t="shared" si="6"/>
        <v>11915.520498939966</v>
      </c>
      <c r="F24" s="10">
        <f t="shared" ref="F24:K24" si="27">F23</f>
        <v>15238.610479135685</v>
      </c>
      <c r="G24" s="10">
        <f t="shared" si="27"/>
        <v>5496.499010070037</v>
      </c>
      <c r="H24" s="10">
        <f t="shared" si="27"/>
        <v>10318.078367237735</v>
      </c>
      <c r="I24" s="10">
        <f t="shared" si="27"/>
        <v>21569.317109114898</v>
      </c>
      <c r="J24" s="10">
        <f t="shared" si="27"/>
        <v>34282.456320179313</v>
      </c>
      <c r="K24" s="10">
        <f t="shared" si="27"/>
        <v>41662.704729652083</v>
      </c>
      <c r="L24" s="10">
        <f t="shared" si="7"/>
        <v>73555.043209259384</v>
      </c>
      <c r="M24" s="10">
        <f t="shared" si="8"/>
        <v>71965.093867656353</v>
      </c>
      <c r="N24" s="10">
        <f t="shared" si="9"/>
        <v>81053.774271392002</v>
      </c>
      <c r="O24" s="10">
        <f t="shared" si="10"/>
        <v>4373.4812208112153</v>
      </c>
      <c r="P24" s="10">
        <f t="shared" si="11"/>
        <v>6550.4689900704134</v>
      </c>
      <c r="Q24" s="10">
        <f t="shared" si="12"/>
        <v>8312.7796954170317</v>
      </c>
      <c r="R24" s="10">
        <f t="shared" si="13"/>
        <v>73075.487467183048</v>
      </c>
      <c r="S24" s="10">
        <f t="shared" si="14"/>
        <v>8596.9308745686012</v>
      </c>
      <c r="T24" s="10">
        <f t="shared" si="15"/>
        <v>50667.034835434672</v>
      </c>
      <c r="U24" s="13">
        <f t="shared" si="3"/>
        <v>706081</v>
      </c>
    </row>
    <row r="25" spans="2:29">
      <c r="B25" s="3">
        <v>2037</v>
      </c>
      <c r="C25" s="10">
        <f t="shared" si="4"/>
        <v>112517.36657849001</v>
      </c>
      <c r="D25" s="10">
        <f t="shared" si="5"/>
        <v>74930.612070076197</v>
      </c>
      <c r="E25" s="10">
        <f t="shared" si="6"/>
        <v>11915.520498939966</v>
      </c>
      <c r="F25" s="10">
        <f t="shared" ref="F25:K40" si="28">F24</f>
        <v>15238.610479135685</v>
      </c>
      <c r="G25" s="10">
        <f t="shared" si="28"/>
        <v>5496.499010070037</v>
      </c>
      <c r="H25" s="10">
        <f t="shared" si="28"/>
        <v>10318.078367237735</v>
      </c>
      <c r="I25" s="10">
        <f t="shared" si="28"/>
        <v>21569.317109114898</v>
      </c>
      <c r="J25" s="10">
        <f t="shared" si="28"/>
        <v>34282.456320179313</v>
      </c>
      <c r="K25" s="10">
        <f t="shared" si="28"/>
        <v>41662.704729652083</v>
      </c>
      <c r="L25" s="10">
        <f t="shared" si="7"/>
        <v>73555.043209259384</v>
      </c>
      <c r="M25" s="10">
        <f t="shared" si="8"/>
        <v>71965.093867656353</v>
      </c>
      <c r="N25" s="10">
        <f t="shared" si="9"/>
        <v>81053.774271392002</v>
      </c>
      <c r="O25" s="10">
        <f t="shared" si="10"/>
        <v>4373.4812208112153</v>
      </c>
      <c r="P25" s="10">
        <f t="shared" si="11"/>
        <v>6550.4689900704134</v>
      </c>
      <c r="Q25" s="10">
        <f t="shared" si="12"/>
        <v>8312.7796954170317</v>
      </c>
      <c r="R25" s="10">
        <f t="shared" si="13"/>
        <v>73075.487467183048</v>
      </c>
      <c r="S25" s="10">
        <f t="shared" si="14"/>
        <v>8596.9308745686012</v>
      </c>
      <c r="T25" s="10">
        <f t="shared" si="15"/>
        <v>50667.034835434672</v>
      </c>
      <c r="U25" s="13">
        <f t="shared" si="3"/>
        <v>706081</v>
      </c>
    </row>
    <row r="26" spans="2:29">
      <c r="B26" s="3">
        <v>2038</v>
      </c>
      <c r="C26" s="10">
        <f t="shared" si="4"/>
        <v>112517.36657849001</v>
      </c>
      <c r="D26" s="10">
        <f t="shared" si="5"/>
        <v>74930.612070076197</v>
      </c>
      <c r="E26" s="10">
        <f t="shared" si="6"/>
        <v>11915.520498939966</v>
      </c>
      <c r="F26" s="10">
        <f t="shared" si="28"/>
        <v>15238.610479135685</v>
      </c>
      <c r="G26" s="10">
        <f t="shared" si="28"/>
        <v>5496.499010070037</v>
      </c>
      <c r="H26" s="10">
        <f t="shared" si="28"/>
        <v>10318.078367237735</v>
      </c>
      <c r="I26" s="10">
        <f t="shared" si="28"/>
        <v>21569.317109114898</v>
      </c>
      <c r="J26" s="10">
        <f t="shared" si="28"/>
        <v>34282.456320179313</v>
      </c>
      <c r="K26" s="10">
        <f t="shared" si="28"/>
        <v>41662.704729652083</v>
      </c>
      <c r="L26" s="10">
        <f t="shared" si="7"/>
        <v>73555.043209259384</v>
      </c>
      <c r="M26" s="10">
        <f t="shared" si="8"/>
        <v>71965.093867656353</v>
      </c>
      <c r="N26" s="10">
        <f t="shared" si="9"/>
        <v>81053.774271392002</v>
      </c>
      <c r="O26" s="10">
        <f t="shared" si="10"/>
        <v>4373.4812208112153</v>
      </c>
      <c r="P26" s="10">
        <f t="shared" si="11"/>
        <v>6550.4689900704134</v>
      </c>
      <c r="Q26" s="10">
        <f t="shared" si="12"/>
        <v>8312.7796954170317</v>
      </c>
      <c r="R26" s="10">
        <f t="shared" si="13"/>
        <v>73075.487467183048</v>
      </c>
      <c r="S26" s="10">
        <f t="shared" si="14"/>
        <v>8596.9308745686012</v>
      </c>
      <c r="T26" s="10">
        <f t="shared" si="15"/>
        <v>50667.034835434672</v>
      </c>
      <c r="U26" s="13">
        <f t="shared" si="3"/>
        <v>706081</v>
      </c>
    </row>
    <row r="27" spans="2:29">
      <c r="B27" s="3">
        <v>2039</v>
      </c>
      <c r="C27" s="10">
        <f t="shared" si="4"/>
        <v>112517.36657849001</v>
      </c>
      <c r="D27" s="10">
        <f t="shared" si="5"/>
        <v>74930.612070076197</v>
      </c>
      <c r="E27" s="10">
        <f t="shared" si="6"/>
        <v>11915.520498939966</v>
      </c>
      <c r="F27" s="10">
        <f t="shared" ref="F27" si="29">F26</f>
        <v>15238.610479135685</v>
      </c>
      <c r="G27" s="10">
        <f t="shared" si="28"/>
        <v>5496.499010070037</v>
      </c>
      <c r="H27" s="10">
        <f t="shared" si="28"/>
        <v>10318.078367237735</v>
      </c>
      <c r="I27" s="10">
        <f t="shared" si="28"/>
        <v>21569.317109114898</v>
      </c>
      <c r="J27" s="10">
        <f t="shared" si="28"/>
        <v>34282.456320179313</v>
      </c>
      <c r="K27" s="10">
        <f t="shared" si="28"/>
        <v>41662.704729652083</v>
      </c>
      <c r="L27" s="10">
        <f t="shared" si="7"/>
        <v>73555.043209259384</v>
      </c>
      <c r="M27" s="10">
        <f t="shared" si="8"/>
        <v>71965.093867656353</v>
      </c>
      <c r="N27" s="10">
        <f t="shared" si="9"/>
        <v>81053.774271392002</v>
      </c>
      <c r="O27" s="10">
        <f t="shared" si="10"/>
        <v>4373.4812208112153</v>
      </c>
      <c r="P27" s="10">
        <f t="shared" si="11"/>
        <v>6550.4689900704134</v>
      </c>
      <c r="Q27" s="10">
        <f t="shared" si="12"/>
        <v>8312.7796954170317</v>
      </c>
      <c r="R27" s="10">
        <f t="shared" si="13"/>
        <v>73075.487467183048</v>
      </c>
      <c r="S27" s="10">
        <f t="shared" si="14"/>
        <v>8596.9308745686012</v>
      </c>
      <c r="T27" s="10">
        <f t="shared" si="15"/>
        <v>50667.034835434672</v>
      </c>
      <c r="U27" s="13">
        <f t="shared" si="3"/>
        <v>706081</v>
      </c>
    </row>
    <row r="28" spans="2:29">
      <c r="B28" s="3">
        <v>2040</v>
      </c>
      <c r="C28" s="10">
        <f t="shared" si="4"/>
        <v>112517.36657849001</v>
      </c>
      <c r="D28" s="10">
        <f t="shared" si="5"/>
        <v>74930.612070076197</v>
      </c>
      <c r="E28" s="10">
        <f t="shared" si="6"/>
        <v>11915.520498939966</v>
      </c>
      <c r="F28" s="10">
        <f t="shared" ref="F28" si="30">F27</f>
        <v>15238.610479135685</v>
      </c>
      <c r="G28" s="10">
        <f t="shared" si="28"/>
        <v>5496.499010070037</v>
      </c>
      <c r="H28" s="10">
        <f t="shared" si="28"/>
        <v>10318.078367237735</v>
      </c>
      <c r="I28" s="10">
        <f t="shared" si="28"/>
        <v>21569.317109114898</v>
      </c>
      <c r="J28" s="10">
        <f t="shared" si="28"/>
        <v>34282.456320179313</v>
      </c>
      <c r="K28" s="10">
        <f t="shared" si="28"/>
        <v>41662.704729652083</v>
      </c>
      <c r="L28" s="10">
        <f t="shared" si="7"/>
        <v>73555.043209259384</v>
      </c>
      <c r="M28" s="10">
        <f t="shared" si="8"/>
        <v>71965.093867656353</v>
      </c>
      <c r="N28" s="10">
        <f t="shared" si="9"/>
        <v>81053.774271392002</v>
      </c>
      <c r="O28" s="10">
        <f t="shared" si="10"/>
        <v>4373.4812208112153</v>
      </c>
      <c r="P28" s="10">
        <f t="shared" si="11"/>
        <v>6550.4689900704134</v>
      </c>
      <c r="Q28" s="10">
        <f t="shared" si="12"/>
        <v>8312.7796954170317</v>
      </c>
      <c r="R28" s="10">
        <f t="shared" si="13"/>
        <v>73075.487467183048</v>
      </c>
      <c r="S28" s="10">
        <f t="shared" si="14"/>
        <v>8596.9308745686012</v>
      </c>
      <c r="T28" s="10">
        <f t="shared" si="15"/>
        <v>50667.034835434672</v>
      </c>
      <c r="U28" s="13">
        <f t="shared" si="3"/>
        <v>706081</v>
      </c>
    </row>
    <row r="29" spans="2:29">
      <c r="B29" s="3">
        <v>2041</v>
      </c>
      <c r="C29" s="10">
        <f t="shared" si="4"/>
        <v>112517.36657849001</v>
      </c>
      <c r="D29" s="10">
        <f t="shared" si="5"/>
        <v>74930.612070076197</v>
      </c>
      <c r="E29" s="10">
        <f t="shared" si="6"/>
        <v>11915.520498939966</v>
      </c>
      <c r="F29" s="10">
        <f t="shared" ref="F29" si="31">F28</f>
        <v>15238.610479135685</v>
      </c>
      <c r="G29" s="10">
        <f t="shared" si="28"/>
        <v>5496.499010070037</v>
      </c>
      <c r="H29" s="10">
        <f t="shared" si="28"/>
        <v>10318.078367237735</v>
      </c>
      <c r="I29" s="10">
        <f t="shared" si="28"/>
        <v>21569.317109114898</v>
      </c>
      <c r="J29" s="10">
        <f t="shared" si="28"/>
        <v>34282.456320179313</v>
      </c>
      <c r="K29" s="10">
        <f t="shared" si="28"/>
        <v>41662.704729652083</v>
      </c>
      <c r="L29" s="10">
        <f t="shared" si="7"/>
        <v>73555.043209259384</v>
      </c>
      <c r="M29" s="10">
        <f t="shared" si="8"/>
        <v>71965.093867656353</v>
      </c>
      <c r="N29" s="10">
        <f t="shared" si="9"/>
        <v>81053.774271392002</v>
      </c>
      <c r="O29" s="10">
        <f t="shared" si="10"/>
        <v>4373.4812208112153</v>
      </c>
      <c r="P29" s="10">
        <f t="shared" si="11"/>
        <v>6550.4689900704134</v>
      </c>
      <c r="Q29" s="10">
        <f t="shared" si="12"/>
        <v>8312.7796954170317</v>
      </c>
      <c r="R29" s="10">
        <f t="shared" si="13"/>
        <v>73075.487467183048</v>
      </c>
      <c r="S29" s="10">
        <f t="shared" si="14"/>
        <v>8596.9308745686012</v>
      </c>
      <c r="T29" s="10">
        <f t="shared" si="15"/>
        <v>50667.034835434672</v>
      </c>
      <c r="U29" s="13">
        <f t="shared" si="3"/>
        <v>706081</v>
      </c>
      <c r="AC29" s="19"/>
    </row>
    <row r="30" spans="2:29">
      <c r="B30" s="3">
        <v>2042</v>
      </c>
      <c r="C30" s="10">
        <f t="shared" si="4"/>
        <v>112517.36657849001</v>
      </c>
      <c r="D30" s="10">
        <f t="shared" si="5"/>
        <v>74930.612070076197</v>
      </c>
      <c r="E30" s="10">
        <f t="shared" si="6"/>
        <v>11915.520498939966</v>
      </c>
      <c r="F30" s="10">
        <f t="shared" ref="F30:K30" si="32">F29</f>
        <v>15238.610479135685</v>
      </c>
      <c r="G30" s="10">
        <f t="shared" si="32"/>
        <v>5496.499010070037</v>
      </c>
      <c r="H30" s="10">
        <f t="shared" si="32"/>
        <v>10318.078367237735</v>
      </c>
      <c r="I30" s="10">
        <f t="shared" si="32"/>
        <v>21569.317109114898</v>
      </c>
      <c r="J30" s="10">
        <f t="shared" si="32"/>
        <v>34282.456320179313</v>
      </c>
      <c r="K30" s="10">
        <f t="shared" si="32"/>
        <v>41662.704729652083</v>
      </c>
      <c r="L30" s="10">
        <f t="shared" si="7"/>
        <v>73555.043209259384</v>
      </c>
      <c r="M30" s="10">
        <f t="shared" si="8"/>
        <v>71965.093867656353</v>
      </c>
      <c r="N30" s="10">
        <f t="shared" si="9"/>
        <v>81053.774271392002</v>
      </c>
      <c r="O30" s="10">
        <f t="shared" si="10"/>
        <v>4373.4812208112153</v>
      </c>
      <c r="P30" s="10">
        <f t="shared" si="11"/>
        <v>6550.4689900704134</v>
      </c>
      <c r="Q30" s="10">
        <f t="shared" si="12"/>
        <v>8312.7796954170317</v>
      </c>
      <c r="R30" s="10">
        <f t="shared" si="13"/>
        <v>73075.487467183048</v>
      </c>
      <c r="S30" s="10">
        <f t="shared" si="14"/>
        <v>8596.9308745686012</v>
      </c>
      <c r="T30" s="10">
        <f t="shared" si="15"/>
        <v>50667.034835434672</v>
      </c>
      <c r="U30" s="13">
        <f t="shared" si="3"/>
        <v>706081</v>
      </c>
    </row>
    <row r="31" spans="2:29">
      <c r="B31" s="3">
        <v>2043</v>
      </c>
      <c r="C31" s="10">
        <f t="shared" si="4"/>
        <v>112517.36657849001</v>
      </c>
      <c r="D31" s="10">
        <f t="shared" si="5"/>
        <v>74930.612070076197</v>
      </c>
      <c r="E31" s="10">
        <f t="shared" si="6"/>
        <v>11915.520498939966</v>
      </c>
      <c r="F31" s="10">
        <f t="shared" ref="F31:K31" si="33">F30</f>
        <v>15238.610479135685</v>
      </c>
      <c r="G31" s="10">
        <f t="shared" si="33"/>
        <v>5496.499010070037</v>
      </c>
      <c r="H31" s="10">
        <f t="shared" si="33"/>
        <v>10318.078367237735</v>
      </c>
      <c r="I31" s="10">
        <f t="shared" si="33"/>
        <v>21569.317109114898</v>
      </c>
      <c r="J31" s="10">
        <f t="shared" si="33"/>
        <v>34282.456320179313</v>
      </c>
      <c r="K31" s="10">
        <f t="shared" si="33"/>
        <v>41662.704729652083</v>
      </c>
      <c r="L31" s="10">
        <f t="shared" si="7"/>
        <v>73555.043209259384</v>
      </c>
      <c r="M31" s="10">
        <f t="shared" si="8"/>
        <v>71965.093867656353</v>
      </c>
      <c r="N31" s="10">
        <f t="shared" si="9"/>
        <v>81053.774271392002</v>
      </c>
      <c r="O31" s="10">
        <f t="shared" si="10"/>
        <v>4373.4812208112153</v>
      </c>
      <c r="P31" s="10">
        <f t="shared" si="11"/>
        <v>6550.4689900704134</v>
      </c>
      <c r="Q31" s="10">
        <f t="shared" si="12"/>
        <v>8312.7796954170317</v>
      </c>
      <c r="R31" s="10">
        <f t="shared" si="13"/>
        <v>73075.487467183048</v>
      </c>
      <c r="S31" s="10">
        <f t="shared" si="14"/>
        <v>8596.9308745686012</v>
      </c>
      <c r="T31" s="10">
        <f t="shared" si="15"/>
        <v>50667.034835434672</v>
      </c>
      <c r="U31" s="13">
        <f t="shared" si="3"/>
        <v>706081</v>
      </c>
    </row>
    <row r="32" spans="2:29">
      <c r="B32" s="3">
        <v>2044</v>
      </c>
      <c r="C32" s="10">
        <f t="shared" si="4"/>
        <v>112517.36657849001</v>
      </c>
      <c r="D32" s="10">
        <f t="shared" si="5"/>
        <v>74930.612070076197</v>
      </c>
      <c r="E32" s="10">
        <f t="shared" si="6"/>
        <v>11915.520498939966</v>
      </c>
      <c r="F32" s="10">
        <f t="shared" ref="F32:K32" si="34">F31</f>
        <v>15238.610479135685</v>
      </c>
      <c r="G32" s="10">
        <f t="shared" si="34"/>
        <v>5496.499010070037</v>
      </c>
      <c r="H32" s="10">
        <f t="shared" si="34"/>
        <v>10318.078367237735</v>
      </c>
      <c r="I32" s="10">
        <f t="shared" si="34"/>
        <v>21569.317109114898</v>
      </c>
      <c r="J32" s="10">
        <f t="shared" si="34"/>
        <v>34282.456320179313</v>
      </c>
      <c r="K32" s="10">
        <f t="shared" si="34"/>
        <v>41662.704729652083</v>
      </c>
      <c r="L32" s="10">
        <f t="shared" si="7"/>
        <v>73555.043209259384</v>
      </c>
      <c r="M32" s="10">
        <f t="shared" si="8"/>
        <v>71965.093867656353</v>
      </c>
      <c r="N32" s="10">
        <f t="shared" si="9"/>
        <v>81053.774271392002</v>
      </c>
      <c r="O32" s="10">
        <f t="shared" si="10"/>
        <v>4373.4812208112153</v>
      </c>
      <c r="P32" s="10">
        <f t="shared" si="11"/>
        <v>6550.4689900704134</v>
      </c>
      <c r="Q32" s="10">
        <f t="shared" si="12"/>
        <v>8312.7796954170317</v>
      </c>
      <c r="R32" s="10">
        <f t="shared" si="13"/>
        <v>73075.487467183048</v>
      </c>
      <c r="S32" s="10">
        <f t="shared" si="14"/>
        <v>8596.9308745686012</v>
      </c>
      <c r="T32" s="10">
        <f t="shared" si="15"/>
        <v>50667.034835434672</v>
      </c>
      <c r="U32" s="13">
        <f t="shared" si="3"/>
        <v>706081</v>
      </c>
    </row>
    <row r="33" spans="2:21">
      <c r="B33" s="3">
        <v>2045</v>
      </c>
      <c r="C33" s="10">
        <f t="shared" si="4"/>
        <v>112517.36657849001</v>
      </c>
      <c r="D33" s="10">
        <f t="shared" si="5"/>
        <v>74930.612070076197</v>
      </c>
      <c r="E33" s="10">
        <f t="shared" si="6"/>
        <v>11915.520498939966</v>
      </c>
      <c r="F33" s="10">
        <f t="shared" ref="F33:K33" si="35">F32</f>
        <v>15238.610479135685</v>
      </c>
      <c r="G33" s="10">
        <f t="shared" si="35"/>
        <v>5496.499010070037</v>
      </c>
      <c r="H33" s="10">
        <f t="shared" si="35"/>
        <v>10318.078367237735</v>
      </c>
      <c r="I33" s="10">
        <f t="shared" si="35"/>
        <v>21569.317109114898</v>
      </c>
      <c r="J33" s="10">
        <f t="shared" si="35"/>
        <v>34282.456320179313</v>
      </c>
      <c r="K33" s="10">
        <f t="shared" si="35"/>
        <v>41662.704729652083</v>
      </c>
      <c r="L33" s="10">
        <f t="shared" si="7"/>
        <v>73555.043209259384</v>
      </c>
      <c r="M33" s="10">
        <f t="shared" si="8"/>
        <v>71965.093867656353</v>
      </c>
      <c r="N33" s="10">
        <f t="shared" si="9"/>
        <v>81053.774271392002</v>
      </c>
      <c r="O33" s="10">
        <f t="shared" si="10"/>
        <v>4373.4812208112153</v>
      </c>
      <c r="P33" s="10">
        <f t="shared" si="11"/>
        <v>6550.4689900704134</v>
      </c>
      <c r="Q33" s="10">
        <f t="shared" si="12"/>
        <v>8312.7796954170317</v>
      </c>
      <c r="R33" s="10">
        <f t="shared" si="13"/>
        <v>73075.487467183048</v>
      </c>
      <c r="S33" s="10">
        <f t="shared" si="14"/>
        <v>8596.9308745686012</v>
      </c>
      <c r="T33" s="10">
        <f t="shared" si="15"/>
        <v>50667.034835434672</v>
      </c>
      <c r="U33" s="13">
        <f t="shared" si="3"/>
        <v>706081</v>
      </c>
    </row>
    <row r="34" spans="2:21">
      <c r="B34" s="3">
        <v>2046</v>
      </c>
      <c r="C34" s="10">
        <f t="shared" si="4"/>
        <v>112517.36657849001</v>
      </c>
      <c r="D34" s="10">
        <f t="shared" si="5"/>
        <v>74930.612070076197</v>
      </c>
      <c r="E34" s="10">
        <f t="shared" si="6"/>
        <v>11915.520498939966</v>
      </c>
      <c r="F34" s="10">
        <f t="shared" ref="F34:K34" si="36">F33</f>
        <v>15238.610479135685</v>
      </c>
      <c r="G34" s="10">
        <f t="shared" si="36"/>
        <v>5496.499010070037</v>
      </c>
      <c r="H34" s="10">
        <f t="shared" si="36"/>
        <v>10318.078367237735</v>
      </c>
      <c r="I34" s="10">
        <f t="shared" si="36"/>
        <v>21569.317109114898</v>
      </c>
      <c r="J34" s="10">
        <f t="shared" si="36"/>
        <v>34282.456320179313</v>
      </c>
      <c r="K34" s="10">
        <f t="shared" si="36"/>
        <v>41662.704729652083</v>
      </c>
      <c r="L34" s="10">
        <f t="shared" si="7"/>
        <v>73555.043209259384</v>
      </c>
      <c r="M34" s="10">
        <f t="shared" si="8"/>
        <v>71965.093867656353</v>
      </c>
      <c r="N34" s="10">
        <f t="shared" si="9"/>
        <v>81053.774271392002</v>
      </c>
      <c r="O34" s="10">
        <f t="shared" si="10"/>
        <v>4373.4812208112153</v>
      </c>
      <c r="P34" s="10">
        <f t="shared" si="11"/>
        <v>6550.4689900704134</v>
      </c>
      <c r="Q34" s="10">
        <f t="shared" si="12"/>
        <v>8312.7796954170317</v>
      </c>
      <c r="R34" s="10">
        <f t="shared" si="13"/>
        <v>73075.487467183048</v>
      </c>
      <c r="S34" s="10">
        <f t="shared" si="14"/>
        <v>8596.9308745686012</v>
      </c>
      <c r="T34" s="10">
        <f t="shared" si="15"/>
        <v>50667.034835434672</v>
      </c>
      <c r="U34" s="13">
        <f t="shared" si="3"/>
        <v>706081</v>
      </c>
    </row>
    <row r="35" spans="2:21">
      <c r="B35" s="3">
        <v>2047</v>
      </c>
      <c r="C35" s="10">
        <f t="shared" si="4"/>
        <v>112517.36657849001</v>
      </c>
      <c r="D35" s="10">
        <f t="shared" si="5"/>
        <v>74930.612070076197</v>
      </c>
      <c r="E35" s="10">
        <f t="shared" si="6"/>
        <v>11915.520498939966</v>
      </c>
      <c r="F35" s="10">
        <f t="shared" ref="F35:K36" si="37">F34</f>
        <v>15238.610479135685</v>
      </c>
      <c r="G35" s="10">
        <f t="shared" si="37"/>
        <v>5496.499010070037</v>
      </c>
      <c r="H35" s="10">
        <f t="shared" si="37"/>
        <v>10318.078367237735</v>
      </c>
      <c r="I35" s="10">
        <f t="shared" si="37"/>
        <v>21569.317109114898</v>
      </c>
      <c r="J35" s="10">
        <f t="shared" si="37"/>
        <v>34282.456320179313</v>
      </c>
      <c r="K35" s="10">
        <f t="shared" si="37"/>
        <v>41662.704729652083</v>
      </c>
      <c r="L35" s="10">
        <f t="shared" si="7"/>
        <v>73555.043209259384</v>
      </c>
      <c r="M35" s="10">
        <f t="shared" si="8"/>
        <v>71965.093867656353</v>
      </c>
      <c r="N35" s="10">
        <f t="shared" si="9"/>
        <v>81053.774271392002</v>
      </c>
      <c r="O35" s="10">
        <f t="shared" si="10"/>
        <v>4373.4812208112153</v>
      </c>
      <c r="P35" s="10">
        <f t="shared" si="11"/>
        <v>6550.4689900704134</v>
      </c>
      <c r="Q35" s="10">
        <f t="shared" si="12"/>
        <v>8312.7796954170317</v>
      </c>
      <c r="R35" s="10">
        <f t="shared" si="13"/>
        <v>73075.487467183048</v>
      </c>
      <c r="S35" s="10">
        <f t="shared" si="14"/>
        <v>8596.9308745686012</v>
      </c>
      <c r="T35" s="10">
        <f t="shared" si="15"/>
        <v>50667.034835434672</v>
      </c>
      <c r="U35" s="13">
        <f t="shared" si="3"/>
        <v>706081</v>
      </c>
    </row>
    <row r="36" spans="2:21">
      <c r="B36" s="3">
        <v>2048</v>
      </c>
      <c r="C36" s="10">
        <f t="shared" si="4"/>
        <v>112517.36657849001</v>
      </c>
      <c r="D36" s="10">
        <f t="shared" si="5"/>
        <v>74930.612070076197</v>
      </c>
      <c r="E36" s="10">
        <f t="shared" si="6"/>
        <v>11915.520498939966</v>
      </c>
      <c r="F36" s="10">
        <f t="shared" si="37"/>
        <v>15238.610479135685</v>
      </c>
      <c r="G36" s="10">
        <f t="shared" si="37"/>
        <v>5496.499010070037</v>
      </c>
      <c r="H36" s="10">
        <f t="shared" si="37"/>
        <v>10318.078367237735</v>
      </c>
      <c r="I36" s="10">
        <f t="shared" si="37"/>
        <v>21569.317109114898</v>
      </c>
      <c r="J36" s="10">
        <f t="shared" si="37"/>
        <v>34282.456320179313</v>
      </c>
      <c r="K36" s="10">
        <f t="shared" si="37"/>
        <v>41662.704729652083</v>
      </c>
      <c r="L36" s="10">
        <f t="shared" si="7"/>
        <v>73555.043209259384</v>
      </c>
      <c r="M36" s="10">
        <f t="shared" si="8"/>
        <v>71965.093867656353</v>
      </c>
      <c r="N36" s="10">
        <f t="shared" si="9"/>
        <v>81053.774271392002</v>
      </c>
      <c r="O36" s="10">
        <f t="shared" si="10"/>
        <v>4373.4812208112153</v>
      </c>
      <c r="P36" s="10">
        <f t="shared" si="11"/>
        <v>6550.4689900704134</v>
      </c>
      <c r="Q36" s="10">
        <f t="shared" si="12"/>
        <v>8312.7796954170317</v>
      </c>
      <c r="R36" s="10">
        <f t="shared" si="13"/>
        <v>73075.487467183048</v>
      </c>
      <c r="S36" s="10">
        <f t="shared" si="14"/>
        <v>8596.9308745686012</v>
      </c>
      <c r="T36" s="10">
        <f t="shared" si="15"/>
        <v>50667.034835434672</v>
      </c>
      <c r="U36" s="13">
        <f t="shared" si="3"/>
        <v>706081</v>
      </c>
    </row>
    <row r="37" spans="2:21">
      <c r="B37" s="3">
        <v>2049</v>
      </c>
      <c r="C37" s="10">
        <f t="shared" si="4"/>
        <v>112517.36657849001</v>
      </c>
      <c r="D37" s="10">
        <f t="shared" si="5"/>
        <v>74930.612070076197</v>
      </c>
      <c r="E37" s="10">
        <f t="shared" si="6"/>
        <v>11915.520498939966</v>
      </c>
      <c r="F37" s="10">
        <f t="shared" ref="F37:K37" si="38">F36</f>
        <v>15238.610479135685</v>
      </c>
      <c r="G37" s="10">
        <f t="shared" si="38"/>
        <v>5496.499010070037</v>
      </c>
      <c r="H37" s="10">
        <f t="shared" si="38"/>
        <v>10318.078367237735</v>
      </c>
      <c r="I37" s="10">
        <f t="shared" si="38"/>
        <v>21569.317109114898</v>
      </c>
      <c r="J37" s="10">
        <f t="shared" si="38"/>
        <v>34282.456320179313</v>
      </c>
      <c r="K37" s="10">
        <f t="shared" si="38"/>
        <v>41662.704729652083</v>
      </c>
      <c r="L37" s="10">
        <f t="shared" si="7"/>
        <v>73555.043209259384</v>
      </c>
      <c r="M37" s="10">
        <f t="shared" si="8"/>
        <v>71965.093867656353</v>
      </c>
      <c r="N37" s="10">
        <f t="shared" si="9"/>
        <v>81053.774271392002</v>
      </c>
      <c r="O37" s="10">
        <f t="shared" si="10"/>
        <v>4373.4812208112153</v>
      </c>
      <c r="P37" s="10">
        <f t="shared" si="11"/>
        <v>6550.4689900704134</v>
      </c>
      <c r="Q37" s="10">
        <f t="shared" si="12"/>
        <v>8312.7796954170317</v>
      </c>
      <c r="R37" s="10">
        <f t="shared" si="13"/>
        <v>73075.487467183048</v>
      </c>
      <c r="S37" s="10">
        <f t="shared" si="14"/>
        <v>8596.9308745686012</v>
      </c>
      <c r="T37" s="10">
        <f t="shared" si="15"/>
        <v>50667.034835434672</v>
      </c>
      <c r="U37" s="13">
        <f t="shared" si="3"/>
        <v>706081</v>
      </c>
    </row>
    <row r="38" spans="2:21">
      <c r="B38" s="3">
        <v>2050</v>
      </c>
      <c r="C38" s="10">
        <f t="shared" si="4"/>
        <v>112517.36657849001</v>
      </c>
      <c r="D38" s="10">
        <f t="shared" si="5"/>
        <v>74930.612070076197</v>
      </c>
      <c r="E38" s="10">
        <f t="shared" si="6"/>
        <v>11915.520498939966</v>
      </c>
      <c r="F38" s="10">
        <f t="shared" ref="F38:K38" si="39">F37</f>
        <v>15238.610479135685</v>
      </c>
      <c r="G38" s="10">
        <f t="shared" si="39"/>
        <v>5496.499010070037</v>
      </c>
      <c r="H38" s="10">
        <f t="shared" si="39"/>
        <v>10318.078367237735</v>
      </c>
      <c r="I38" s="10">
        <f t="shared" si="39"/>
        <v>21569.317109114898</v>
      </c>
      <c r="J38" s="10">
        <f t="shared" si="39"/>
        <v>34282.456320179313</v>
      </c>
      <c r="K38" s="10">
        <f t="shared" si="39"/>
        <v>41662.704729652083</v>
      </c>
      <c r="L38" s="10">
        <f t="shared" si="7"/>
        <v>73555.043209259384</v>
      </c>
      <c r="M38" s="10">
        <f t="shared" si="8"/>
        <v>71965.093867656353</v>
      </c>
      <c r="N38" s="10">
        <f t="shared" si="9"/>
        <v>81053.774271392002</v>
      </c>
      <c r="O38" s="10">
        <f t="shared" si="10"/>
        <v>4373.4812208112153</v>
      </c>
      <c r="P38" s="10">
        <f t="shared" si="11"/>
        <v>6550.4689900704134</v>
      </c>
      <c r="Q38" s="10">
        <f t="shared" si="12"/>
        <v>8312.7796954170317</v>
      </c>
      <c r="R38" s="10">
        <f t="shared" si="13"/>
        <v>73075.487467183048</v>
      </c>
      <c r="S38" s="10">
        <f t="shared" si="14"/>
        <v>8596.9308745686012</v>
      </c>
      <c r="T38" s="10">
        <f t="shared" si="15"/>
        <v>50667.034835434672</v>
      </c>
      <c r="U38" s="13">
        <f t="shared" si="3"/>
        <v>706081</v>
      </c>
    </row>
    <row r="39" spans="2:21">
      <c r="B39" s="3">
        <v>2051</v>
      </c>
      <c r="C39" s="10">
        <f t="shared" si="4"/>
        <v>112517.36657849001</v>
      </c>
      <c r="D39" s="10">
        <f t="shared" si="5"/>
        <v>74930.612070076197</v>
      </c>
      <c r="E39" s="10">
        <f t="shared" si="6"/>
        <v>11915.520498939966</v>
      </c>
      <c r="F39" s="10">
        <f t="shared" ref="F39" si="40">F38</f>
        <v>15238.610479135685</v>
      </c>
      <c r="G39" s="10">
        <f t="shared" si="28"/>
        <v>5496.499010070037</v>
      </c>
      <c r="H39" s="10">
        <f t="shared" si="28"/>
        <v>10318.078367237735</v>
      </c>
      <c r="I39" s="10">
        <f t="shared" si="28"/>
        <v>21569.317109114898</v>
      </c>
      <c r="J39" s="10">
        <f t="shared" si="28"/>
        <v>34282.456320179313</v>
      </c>
      <c r="K39" s="10">
        <f t="shared" si="28"/>
        <v>41662.704729652083</v>
      </c>
      <c r="L39" s="10">
        <f t="shared" si="7"/>
        <v>73555.043209259384</v>
      </c>
      <c r="M39" s="10">
        <f t="shared" si="8"/>
        <v>71965.093867656353</v>
      </c>
      <c r="N39" s="10">
        <f t="shared" si="9"/>
        <v>81053.774271392002</v>
      </c>
      <c r="O39" s="10">
        <f t="shared" si="10"/>
        <v>4373.4812208112153</v>
      </c>
      <c r="P39" s="10">
        <f t="shared" si="11"/>
        <v>6550.4689900704134</v>
      </c>
      <c r="Q39" s="10">
        <f t="shared" si="12"/>
        <v>8312.7796954170317</v>
      </c>
      <c r="R39" s="10">
        <f t="shared" si="13"/>
        <v>73075.487467183048</v>
      </c>
      <c r="S39" s="10">
        <f t="shared" si="14"/>
        <v>8596.9308745686012</v>
      </c>
      <c r="T39" s="10">
        <f t="shared" si="15"/>
        <v>50667.034835434672</v>
      </c>
      <c r="U39" s="13">
        <f t="shared" si="3"/>
        <v>706081</v>
      </c>
    </row>
    <row r="40" spans="2:21">
      <c r="B40" s="3">
        <v>2052</v>
      </c>
      <c r="C40" s="10">
        <f t="shared" si="4"/>
        <v>112517.36657849001</v>
      </c>
      <c r="D40" s="10">
        <f t="shared" si="5"/>
        <v>74930.612070076197</v>
      </c>
      <c r="E40" s="10">
        <f t="shared" si="6"/>
        <v>11915.520498939966</v>
      </c>
      <c r="F40" s="10">
        <f t="shared" ref="F40" si="41">F39</f>
        <v>15238.610479135685</v>
      </c>
      <c r="G40" s="10">
        <f t="shared" si="28"/>
        <v>5496.499010070037</v>
      </c>
      <c r="H40" s="10">
        <f t="shared" si="28"/>
        <v>10318.078367237735</v>
      </c>
      <c r="I40" s="10">
        <f t="shared" si="28"/>
        <v>21569.317109114898</v>
      </c>
      <c r="J40" s="10">
        <f t="shared" si="28"/>
        <v>34282.456320179313</v>
      </c>
      <c r="K40" s="10">
        <f t="shared" si="28"/>
        <v>41662.704729652083</v>
      </c>
      <c r="L40" s="10">
        <f t="shared" si="7"/>
        <v>73555.043209259384</v>
      </c>
      <c r="M40" s="10">
        <f t="shared" si="8"/>
        <v>71965.093867656353</v>
      </c>
      <c r="N40" s="10">
        <f t="shared" si="9"/>
        <v>81053.774271392002</v>
      </c>
      <c r="O40" s="10">
        <f t="shared" si="10"/>
        <v>4373.4812208112153</v>
      </c>
      <c r="P40" s="10">
        <f t="shared" si="11"/>
        <v>6550.4689900704134</v>
      </c>
      <c r="Q40" s="10">
        <f t="shared" si="12"/>
        <v>8312.7796954170317</v>
      </c>
      <c r="R40" s="10">
        <f t="shared" si="13"/>
        <v>73075.487467183048</v>
      </c>
      <c r="S40" s="10">
        <f t="shared" si="14"/>
        <v>8596.9308745686012</v>
      </c>
      <c r="T40" s="10">
        <f t="shared" si="15"/>
        <v>50667.034835434672</v>
      </c>
      <c r="U40" s="13">
        <f t="shared" si="3"/>
        <v>706081</v>
      </c>
    </row>
    <row r="41" spans="2:21">
      <c r="B41" s="3">
        <v>2053</v>
      </c>
      <c r="C41" s="10">
        <f t="shared" si="4"/>
        <v>112517.36657849001</v>
      </c>
      <c r="D41" s="10">
        <f t="shared" si="5"/>
        <v>74930.612070076197</v>
      </c>
      <c r="E41" s="10">
        <f t="shared" si="6"/>
        <v>11915.520498939966</v>
      </c>
      <c r="F41" s="10">
        <f t="shared" ref="F41:K42" si="42">F40</f>
        <v>15238.610479135685</v>
      </c>
      <c r="G41" s="10">
        <f t="shared" si="42"/>
        <v>5496.499010070037</v>
      </c>
      <c r="H41" s="10">
        <f t="shared" si="42"/>
        <v>10318.078367237735</v>
      </c>
      <c r="I41" s="10">
        <f t="shared" si="42"/>
        <v>21569.317109114898</v>
      </c>
      <c r="J41" s="10">
        <f t="shared" si="42"/>
        <v>34282.456320179313</v>
      </c>
      <c r="K41" s="10">
        <f t="shared" si="42"/>
        <v>41662.704729652083</v>
      </c>
      <c r="L41" s="10">
        <f t="shared" si="7"/>
        <v>73555.043209259384</v>
      </c>
      <c r="M41" s="10">
        <f t="shared" si="8"/>
        <v>71965.093867656353</v>
      </c>
      <c r="N41" s="10">
        <f t="shared" si="9"/>
        <v>81053.774271392002</v>
      </c>
      <c r="O41" s="10">
        <f t="shared" si="10"/>
        <v>4373.4812208112153</v>
      </c>
      <c r="P41" s="10">
        <f t="shared" si="11"/>
        <v>6550.4689900704134</v>
      </c>
      <c r="Q41" s="10">
        <f t="shared" si="12"/>
        <v>8312.7796954170317</v>
      </c>
      <c r="R41" s="10">
        <f t="shared" si="13"/>
        <v>73075.487467183048</v>
      </c>
      <c r="S41" s="10">
        <f t="shared" si="14"/>
        <v>8596.9308745686012</v>
      </c>
      <c r="T41" s="10">
        <f t="shared" si="15"/>
        <v>50667.034835434672</v>
      </c>
      <c r="U41" s="13">
        <f t="shared" si="3"/>
        <v>706081</v>
      </c>
    </row>
    <row r="42" spans="2:21">
      <c r="B42" s="3">
        <v>2054</v>
      </c>
      <c r="C42" s="10">
        <f t="shared" si="4"/>
        <v>112517.36657849001</v>
      </c>
      <c r="D42" s="10">
        <f t="shared" si="5"/>
        <v>74930.612070076197</v>
      </c>
      <c r="E42" s="10">
        <f t="shared" si="6"/>
        <v>11915.520498939966</v>
      </c>
      <c r="F42" s="10">
        <f t="shared" ref="F42" si="43">F41</f>
        <v>15238.610479135685</v>
      </c>
      <c r="G42" s="10">
        <f t="shared" si="42"/>
        <v>5496.499010070037</v>
      </c>
      <c r="H42" s="10">
        <f t="shared" si="42"/>
        <v>10318.078367237735</v>
      </c>
      <c r="I42" s="10">
        <f t="shared" si="42"/>
        <v>21569.317109114898</v>
      </c>
      <c r="J42" s="10">
        <f t="shared" si="42"/>
        <v>34282.456320179313</v>
      </c>
      <c r="K42" s="10">
        <f t="shared" si="42"/>
        <v>41662.704729652083</v>
      </c>
      <c r="L42" s="10">
        <f t="shared" si="7"/>
        <v>73555.043209259384</v>
      </c>
      <c r="M42" s="10">
        <f t="shared" si="8"/>
        <v>71965.093867656353</v>
      </c>
      <c r="N42" s="10">
        <f t="shared" si="9"/>
        <v>81053.774271392002</v>
      </c>
      <c r="O42" s="10">
        <f t="shared" si="10"/>
        <v>4373.4812208112153</v>
      </c>
      <c r="P42" s="10">
        <f t="shared" si="11"/>
        <v>6550.4689900704134</v>
      </c>
      <c r="Q42" s="10">
        <f t="shared" si="12"/>
        <v>8312.7796954170317</v>
      </c>
      <c r="R42" s="10">
        <f t="shared" si="13"/>
        <v>73075.487467183048</v>
      </c>
      <c r="S42" s="10">
        <f t="shared" si="14"/>
        <v>8596.9308745686012</v>
      </c>
      <c r="T42" s="10">
        <f t="shared" si="15"/>
        <v>50667.034835434672</v>
      </c>
      <c r="U42" s="13">
        <f t="shared" si="3"/>
        <v>706081</v>
      </c>
    </row>
    <row r="43" spans="2:21">
      <c r="B43" s="3">
        <v>2055</v>
      </c>
      <c r="C43" s="10">
        <f t="shared" si="4"/>
        <v>112517.36657849001</v>
      </c>
      <c r="D43" s="10">
        <f t="shared" si="5"/>
        <v>74930.612070076197</v>
      </c>
      <c r="E43" s="10">
        <f t="shared" si="6"/>
        <v>11915.520498939966</v>
      </c>
      <c r="F43" s="10">
        <f t="shared" ref="F43:K43" si="44">F42</f>
        <v>15238.610479135685</v>
      </c>
      <c r="G43" s="10">
        <f t="shared" si="44"/>
        <v>5496.499010070037</v>
      </c>
      <c r="H43" s="10">
        <f t="shared" si="44"/>
        <v>10318.078367237735</v>
      </c>
      <c r="I43" s="10">
        <f t="shared" si="44"/>
        <v>21569.317109114898</v>
      </c>
      <c r="J43" s="10">
        <f t="shared" si="44"/>
        <v>34282.456320179313</v>
      </c>
      <c r="K43" s="10">
        <f t="shared" si="44"/>
        <v>41662.704729652083</v>
      </c>
      <c r="L43" s="10">
        <f t="shared" si="7"/>
        <v>73555.043209259384</v>
      </c>
      <c r="M43" s="10">
        <f t="shared" si="8"/>
        <v>71965.093867656353</v>
      </c>
      <c r="N43" s="10">
        <f t="shared" si="9"/>
        <v>81053.774271392002</v>
      </c>
      <c r="O43" s="10">
        <f t="shared" si="10"/>
        <v>4373.4812208112153</v>
      </c>
      <c r="P43" s="10">
        <f t="shared" si="11"/>
        <v>6550.4689900704134</v>
      </c>
      <c r="Q43" s="10">
        <f t="shared" si="12"/>
        <v>8312.7796954170317</v>
      </c>
      <c r="R43" s="10">
        <f t="shared" si="13"/>
        <v>73075.487467183048</v>
      </c>
      <c r="S43" s="10">
        <f t="shared" si="14"/>
        <v>8596.9308745686012</v>
      </c>
      <c r="T43" s="10">
        <f t="shared" si="15"/>
        <v>50667.034835434672</v>
      </c>
      <c r="U43" s="13">
        <f t="shared" si="3"/>
        <v>706081</v>
      </c>
    </row>
    <row r="44" spans="2:21">
      <c r="B44" s="3">
        <v>2056</v>
      </c>
      <c r="C44" s="10">
        <f t="shared" si="4"/>
        <v>112517.36657849001</v>
      </c>
      <c r="D44" s="10">
        <f t="shared" si="5"/>
        <v>74930.612070076197</v>
      </c>
      <c r="E44" s="10">
        <f t="shared" si="6"/>
        <v>11915.520498939966</v>
      </c>
      <c r="F44" s="10">
        <f t="shared" ref="F44:K44" si="45">F43</f>
        <v>15238.610479135685</v>
      </c>
      <c r="G44" s="10">
        <f t="shared" si="45"/>
        <v>5496.499010070037</v>
      </c>
      <c r="H44" s="10">
        <f t="shared" si="45"/>
        <v>10318.078367237735</v>
      </c>
      <c r="I44" s="10">
        <f t="shared" si="45"/>
        <v>21569.317109114898</v>
      </c>
      <c r="J44" s="10">
        <f t="shared" si="45"/>
        <v>34282.456320179313</v>
      </c>
      <c r="K44" s="10">
        <f t="shared" si="45"/>
        <v>41662.704729652083</v>
      </c>
      <c r="L44" s="10">
        <f t="shared" si="7"/>
        <v>73555.043209259384</v>
      </c>
      <c r="M44" s="10">
        <f t="shared" si="8"/>
        <v>71965.093867656353</v>
      </c>
      <c r="N44" s="10">
        <f t="shared" si="9"/>
        <v>81053.774271392002</v>
      </c>
      <c r="O44" s="10">
        <f t="shared" si="10"/>
        <v>4373.4812208112153</v>
      </c>
      <c r="P44" s="10">
        <f t="shared" si="11"/>
        <v>6550.4689900704134</v>
      </c>
      <c r="Q44" s="10">
        <f t="shared" si="12"/>
        <v>8312.7796954170317</v>
      </c>
      <c r="R44" s="10">
        <f t="shared" si="13"/>
        <v>73075.487467183048</v>
      </c>
      <c r="S44" s="10">
        <f t="shared" si="14"/>
        <v>8596.9308745686012</v>
      </c>
      <c r="T44" s="10">
        <f t="shared" si="15"/>
        <v>50667.034835434672</v>
      </c>
      <c r="U44" s="13">
        <f t="shared" si="3"/>
        <v>706081</v>
      </c>
    </row>
    <row r="45" spans="2:21" ht="12.95">
      <c r="B45" s="20" t="s">
        <v>24</v>
      </c>
      <c r="C45" s="10">
        <f>SUM(C5:C44)</f>
        <v>4500694.6631396003</v>
      </c>
      <c r="D45" s="10">
        <f>SUM(D5:D44)</f>
        <v>2997224.4828030472</v>
      </c>
      <c r="E45" s="10">
        <f t="shared" ref="E45:U45" si="46">SUM(E5:E44)</f>
        <v>476620.81995759864</v>
      </c>
      <c r="F45" s="10">
        <f t="shared" si="46"/>
        <v>609544.41916542745</v>
      </c>
      <c r="G45" s="10">
        <f t="shared" si="46"/>
        <v>219859.96040280125</v>
      </c>
      <c r="H45" s="10">
        <f t="shared" si="46"/>
        <v>412723.13468950964</v>
      </c>
      <c r="I45" s="10">
        <f t="shared" si="46"/>
        <v>862772.68436459685</v>
      </c>
      <c r="J45" s="10">
        <f t="shared" si="46"/>
        <v>1371298.2528071729</v>
      </c>
      <c r="K45" s="10">
        <f t="shared" si="46"/>
        <v>1666508.189186082</v>
      </c>
      <c r="L45" s="10">
        <f t="shared" si="46"/>
        <v>2942201.7283703755</v>
      </c>
      <c r="M45" s="10">
        <f t="shared" si="46"/>
        <v>2878603.7547062528</v>
      </c>
      <c r="N45" s="10">
        <f t="shared" si="46"/>
        <v>3242150.9708556775</v>
      </c>
      <c r="O45" s="10">
        <f t="shared" si="46"/>
        <v>174939.24883244868</v>
      </c>
      <c r="P45" s="10">
        <f t="shared" si="46"/>
        <v>262018.75960281672</v>
      </c>
      <c r="Q45" s="10">
        <f t="shared" si="46"/>
        <v>332511.18781668128</v>
      </c>
      <c r="R45" s="10">
        <f t="shared" si="46"/>
        <v>2923019.4986873241</v>
      </c>
      <c r="S45" s="10">
        <f t="shared" si="46"/>
        <v>343877.23498274409</v>
      </c>
      <c r="T45" s="10">
        <f t="shared" si="46"/>
        <v>2026681.3934173882</v>
      </c>
      <c r="U45" s="10">
        <f t="shared" si="46"/>
        <v>28243240</v>
      </c>
    </row>
    <row r="46" spans="2:21">
      <c r="U46" s="15"/>
    </row>
  </sheetData>
  <mergeCells count="4">
    <mergeCell ref="B2:B4"/>
    <mergeCell ref="C2:U2"/>
    <mergeCell ref="AC7:AG9"/>
    <mergeCell ref="W23:Z23"/>
  </mergeCells>
  <phoneticPr fontId="2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805D1-E2F9-4449-B056-4618364DB2BE}">
  <dimension ref="B2:O13"/>
  <sheetViews>
    <sheetView tabSelected="1" zoomScaleNormal="100" workbookViewId="0">
      <selection activeCell="H12" sqref="H12"/>
    </sheetView>
  </sheetViews>
  <sheetFormatPr defaultColWidth="8.875" defaultRowHeight="12.6"/>
  <cols>
    <col min="1" max="1" width="1.375" style="37" customWidth="1"/>
    <col min="2" max="2" width="8.875" style="37"/>
    <col min="3" max="3" width="12.375" style="37" customWidth="1"/>
    <col min="4" max="4" width="20.125" style="37" customWidth="1"/>
    <col min="5" max="5" width="11.625" style="37" customWidth="1"/>
    <col min="6" max="6" width="17.75" style="37" customWidth="1"/>
    <col min="7" max="7" width="14.25" style="37" customWidth="1"/>
    <col min="8" max="8" width="15.625" style="37" customWidth="1"/>
    <col min="9" max="9" width="17.125" style="37" customWidth="1"/>
    <col min="10" max="10" width="10.125" style="37" customWidth="1"/>
    <col min="11" max="11" width="9.75" style="37" bestFit="1" customWidth="1"/>
    <col min="12" max="12" width="15.375" style="37" customWidth="1"/>
    <col min="13" max="13" width="17.625" style="37" customWidth="1"/>
    <col min="14" max="14" width="9" style="37" bestFit="1" customWidth="1"/>
    <col min="15" max="15" width="10" style="37" customWidth="1"/>
    <col min="16" max="16" width="8.875" style="37"/>
    <col min="17" max="17" width="13.25" style="37" customWidth="1"/>
    <col min="18" max="18" width="10.875" style="37" customWidth="1"/>
    <col min="19" max="16384" width="8.875" style="37"/>
  </cols>
  <sheetData>
    <row r="2" spans="2:15" s="30" customFormat="1" ht="15.95">
      <c r="B2" s="77" t="s">
        <v>171</v>
      </c>
      <c r="C2" s="77" t="s">
        <v>172</v>
      </c>
      <c r="D2" s="77" t="s">
        <v>173</v>
      </c>
      <c r="E2" s="77" t="s">
        <v>174</v>
      </c>
      <c r="F2" s="77" t="s">
        <v>175</v>
      </c>
      <c r="G2" s="77" t="s">
        <v>176</v>
      </c>
      <c r="H2" s="77" t="s">
        <v>177</v>
      </c>
      <c r="I2" s="77" t="s">
        <v>178</v>
      </c>
    </row>
    <row r="3" spans="2:15">
      <c r="B3" s="31" t="s">
        <v>179</v>
      </c>
      <c r="C3" s="32">
        <v>0.27060000000000001</v>
      </c>
      <c r="D3" s="33">
        <v>1.18</v>
      </c>
      <c r="E3" s="33">
        <v>49.79</v>
      </c>
      <c r="F3" s="34">
        <f>E3/1.724</f>
        <v>28.880510440835266</v>
      </c>
      <c r="G3" s="35">
        <v>30</v>
      </c>
      <c r="H3" s="36">
        <f>ROUND(F3*D3*G3*(1-C3)*0.1,2)</f>
        <v>74.569999999999993</v>
      </c>
      <c r="I3" s="113" t="s">
        <v>180</v>
      </c>
      <c r="K3" s="30"/>
    </row>
    <row r="4" spans="2:15">
      <c r="B4" s="31" t="s">
        <v>181</v>
      </c>
      <c r="C4" s="32">
        <v>0.15440000000000001</v>
      </c>
      <c r="D4" s="33">
        <v>0.99</v>
      </c>
      <c r="E4" s="33">
        <v>27.03</v>
      </c>
      <c r="F4" s="34">
        <f t="shared" ref="F4:F8" si="0">E4/1.724</f>
        <v>15.678654292343388</v>
      </c>
      <c r="G4" s="35">
        <v>30</v>
      </c>
      <c r="H4" s="36">
        <f>ROUND(F4*D4*G4*(1-C4)*0.1,2)</f>
        <v>39.380000000000003</v>
      </c>
      <c r="I4" s="113"/>
      <c r="K4" s="30"/>
    </row>
    <row r="5" spans="2:15">
      <c r="B5" s="31" t="s">
        <v>182</v>
      </c>
      <c r="C5" s="32">
        <v>0.2671</v>
      </c>
      <c r="D5" s="33">
        <v>0.94</v>
      </c>
      <c r="E5" s="33">
        <v>37.22</v>
      </c>
      <c r="F5" s="34">
        <f t="shared" si="0"/>
        <v>21.589327146171694</v>
      </c>
      <c r="G5" s="35">
        <v>30</v>
      </c>
      <c r="H5" s="36">
        <f t="shared" ref="H5:H8" si="1">ROUND(F5*D5*G5*(1-C5)*0.1,2)</f>
        <v>44.62</v>
      </c>
      <c r="I5" s="113"/>
      <c r="K5" s="30"/>
    </row>
    <row r="6" spans="2:15">
      <c r="B6" s="31" t="s">
        <v>183</v>
      </c>
      <c r="C6" s="32">
        <v>0.224</v>
      </c>
      <c r="D6" s="33">
        <v>0.97</v>
      </c>
      <c r="E6" s="33">
        <v>58.24</v>
      </c>
      <c r="F6" s="34">
        <f t="shared" si="0"/>
        <v>33.78190255220418</v>
      </c>
      <c r="G6" s="35">
        <v>30</v>
      </c>
      <c r="H6" s="36">
        <f t="shared" si="1"/>
        <v>76.28</v>
      </c>
      <c r="I6" s="113"/>
      <c r="K6" s="30"/>
    </row>
    <row r="7" spans="2:15">
      <c r="B7" s="31" t="s">
        <v>184</v>
      </c>
      <c r="C7" s="32">
        <v>0.21310000000000001</v>
      </c>
      <c r="D7" s="33">
        <v>1.1599999999999999</v>
      </c>
      <c r="E7" s="33">
        <v>32.01</v>
      </c>
      <c r="F7" s="34">
        <f t="shared" si="0"/>
        <v>18.567285382830626</v>
      </c>
      <c r="G7" s="35">
        <v>30</v>
      </c>
      <c r="H7" s="36">
        <f t="shared" si="1"/>
        <v>50.84</v>
      </c>
      <c r="I7" s="113"/>
      <c r="K7" s="30"/>
    </row>
    <row r="8" spans="2:15">
      <c r="B8" s="31" t="s">
        <v>185</v>
      </c>
      <c r="C8" s="32">
        <v>0.20710000000000001</v>
      </c>
      <c r="D8" s="33">
        <v>1.1399999999999999</v>
      </c>
      <c r="E8" s="33">
        <v>38.28</v>
      </c>
      <c r="F8" s="34">
        <f t="shared" si="0"/>
        <v>22.20417633410673</v>
      </c>
      <c r="G8" s="35">
        <v>30</v>
      </c>
      <c r="H8" s="36">
        <f t="shared" si="1"/>
        <v>60.21</v>
      </c>
      <c r="I8" s="113"/>
      <c r="K8" s="30"/>
    </row>
    <row r="9" spans="2:15" ht="13.7" customHeight="1">
      <c r="B9" s="31"/>
      <c r="C9" s="31"/>
      <c r="D9" s="109" t="s">
        <v>186</v>
      </c>
      <c r="E9" s="110"/>
      <c r="F9" s="111"/>
      <c r="G9" s="38"/>
      <c r="H9" s="39">
        <f>AVERAGE(H3:H8)</f>
        <v>57.65</v>
      </c>
      <c r="I9" s="31"/>
      <c r="K9" s="30"/>
    </row>
    <row r="10" spans="2:15" ht="13.7" customHeight="1">
      <c r="B10" s="31"/>
      <c r="C10" s="31"/>
      <c r="D10" s="109" t="s">
        <v>187</v>
      </c>
      <c r="E10" s="110"/>
      <c r="F10" s="111"/>
      <c r="G10" s="38"/>
      <c r="H10" s="39">
        <f>STDEVA(H3:H8)</f>
        <v>15.426385189019491</v>
      </c>
      <c r="I10" s="31"/>
      <c r="K10" s="30"/>
    </row>
    <row r="11" spans="2:15" ht="13.7" customHeight="1">
      <c r="B11" s="31"/>
      <c r="C11" s="31"/>
      <c r="D11" s="112" t="s">
        <v>188</v>
      </c>
      <c r="E11" s="112"/>
      <c r="F11" s="112"/>
      <c r="G11" s="41"/>
      <c r="H11" s="39">
        <f>STDEVA(H3:H8)</f>
        <v>15.426385189019491</v>
      </c>
      <c r="I11" s="31"/>
      <c r="K11" s="30"/>
    </row>
    <row r="12" spans="2:15" ht="13.7" customHeight="1">
      <c r="B12" s="31"/>
      <c r="C12" s="31"/>
      <c r="D12" s="112" t="s">
        <v>189</v>
      </c>
      <c r="E12" s="112"/>
      <c r="F12" s="112"/>
      <c r="G12" s="41"/>
      <c r="H12" s="39">
        <f>ROUND(AVERAGE(H3:H8),2)</f>
        <v>57.65</v>
      </c>
      <c r="I12" s="31"/>
    </row>
    <row r="13" spans="2:15" ht="13.7" customHeight="1">
      <c r="O13" s="40"/>
    </row>
  </sheetData>
  <mergeCells count="5">
    <mergeCell ref="D9:F9"/>
    <mergeCell ref="D10:F10"/>
    <mergeCell ref="D11:F11"/>
    <mergeCell ref="D12:F12"/>
    <mergeCell ref="I3:I8"/>
  </mergeCells>
  <phoneticPr fontId="2" type="noConversion"/>
  <pageMargins left="0.7" right="0.7" top="0.75" bottom="0.75" header="0.3" footer="0.3"/>
  <pageSetup paperSize="9" orientation="portrait" horizontalDpi="1200" verticalDpi="120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73E86-DD59-4460-BD9E-4A29D749D769}">
  <dimension ref="B2:O13"/>
  <sheetViews>
    <sheetView zoomScaleNormal="100" workbookViewId="0">
      <selection activeCell="H12" sqref="H12"/>
    </sheetView>
  </sheetViews>
  <sheetFormatPr defaultColWidth="8.875" defaultRowHeight="12.6"/>
  <cols>
    <col min="1" max="1" width="1.375" style="37" customWidth="1"/>
    <col min="2" max="2" width="8.875" style="37"/>
    <col min="3" max="3" width="12.375" style="37" customWidth="1"/>
    <col min="4" max="4" width="20.125" style="37" customWidth="1"/>
    <col min="5" max="5" width="11.625" style="37" customWidth="1"/>
    <col min="6" max="6" width="17.75" style="37" customWidth="1"/>
    <col min="7" max="7" width="14.25" style="37" customWidth="1"/>
    <col min="8" max="9" width="15.625" style="37" customWidth="1"/>
    <col min="10" max="10" width="10.125" style="37" customWidth="1"/>
    <col min="11" max="11" width="9.75" style="37" bestFit="1" customWidth="1"/>
    <col min="12" max="12" width="15.375" style="37" customWidth="1"/>
    <col min="13" max="13" width="17.625" style="37" customWidth="1"/>
    <col min="14" max="14" width="9" style="37" bestFit="1" customWidth="1"/>
    <col min="15" max="15" width="10" style="37" customWidth="1"/>
    <col min="16" max="16" width="8.875" style="37"/>
    <col min="17" max="17" width="13.25" style="37" customWidth="1"/>
    <col min="18" max="18" width="10.875" style="37" customWidth="1"/>
    <col min="19" max="16384" width="8.875" style="37"/>
  </cols>
  <sheetData>
    <row r="2" spans="2:15" s="30" customFormat="1" ht="15.95">
      <c r="B2" s="79" t="s">
        <v>171</v>
      </c>
      <c r="C2" s="79" t="s">
        <v>190</v>
      </c>
      <c r="D2" s="79" t="s">
        <v>191</v>
      </c>
      <c r="E2" s="79" t="s">
        <v>174</v>
      </c>
      <c r="F2" s="79" t="s">
        <v>192</v>
      </c>
      <c r="G2" s="79" t="s">
        <v>176</v>
      </c>
      <c r="H2" s="79" t="s">
        <v>193</v>
      </c>
      <c r="I2" s="77" t="s">
        <v>178</v>
      </c>
    </row>
    <row r="3" spans="2:15" ht="13.35" customHeight="1">
      <c r="B3" s="31" t="s">
        <v>194</v>
      </c>
      <c r="C3" s="32">
        <v>9.3299999999999994E-2</v>
      </c>
      <c r="D3" s="33">
        <v>1.02</v>
      </c>
      <c r="E3" s="33">
        <v>42.36</v>
      </c>
      <c r="F3" s="34">
        <f t="shared" ref="F3:F8" si="0">E3/1.724</f>
        <v>24.570765661252899</v>
      </c>
      <c r="G3" s="35">
        <v>30</v>
      </c>
      <c r="H3" s="36">
        <f>ROUND(F3*D3*G3*(1-C3)*0.1,2)</f>
        <v>68.17</v>
      </c>
      <c r="I3" s="114" t="s">
        <v>180</v>
      </c>
      <c r="K3" s="30"/>
    </row>
    <row r="4" spans="2:15">
      <c r="B4" s="31" t="s">
        <v>195</v>
      </c>
      <c r="C4" s="32">
        <v>0.1142</v>
      </c>
      <c r="D4" s="33">
        <v>1.07</v>
      </c>
      <c r="E4" s="33">
        <v>52.28</v>
      </c>
      <c r="F4" s="34">
        <f t="shared" si="0"/>
        <v>30.324825986078888</v>
      </c>
      <c r="G4" s="35">
        <v>30</v>
      </c>
      <c r="H4" s="36">
        <f t="shared" ref="H4:H8" si="1">ROUND(F4*D4*G4*(1-C4)*0.1,2)</f>
        <v>86.23</v>
      </c>
      <c r="I4" s="115"/>
      <c r="K4" s="30"/>
    </row>
    <row r="5" spans="2:15">
      <c r="B5" s="31" t="s">
        <v>196</v>
      </c>
      <c r="C5" s="32">
        <v>9.4600000000000004E-2</v>
      </c>
      <c r="D5" s="33">
        <v>1.1399999999999999</v>
      </c>
      <c r="E5" s="33">
        <v>57.06</v>
      </c>
      <c r="F5" s="34">
        <f t="shared" si="0"/>
        <v>33.097447795823669</v>
      </c>
      <c r="G5" s="35">
        <v>30</v>
      </c>
      <c r="H5" s="36">
        <f t="shared" si="1"/>
        <v>102.49</v>
      </c>
      <c r="I5" s="115"/>
      <c r="K5" s="30"/>
    </row>
    <row r="6" spans="2:15">
      <c r="B6" s="31" t="s">
        <v>197</v>
      </c>
      <c r="C6" s="32">
        <v>0.1772</v>
      </c>
      <c r="D6" s="33">
        <v>1.1200000000000001</v>
      </c>
      <c r="E6" s="33">
        <v>39.74</v>
      </c>
      <c r="F6" s="34">
        <f t="shared" si="0"/>
        <v>23.051044083526683</v>
      </c>
      <c r="G6" s="35">
        <v>30</v>
      </c>
      <c r="H6" s="36">
        <f t="shared" si="1"/>
        <v>63.73</v>
      </c>
      <c r="I6" s="115"/>
      <c r="K6" s="30"/>
    </row>
    <row r="7" spans="2:15">
      <c r="B7" s="31" t="s">
        <v>198</v>
      </c>
      <c r="C7" s="32">
        <v>0.18790000000000001</v>
      </c>
      <c r="D7" s="33">
        <v>0.99</v>
      </c>
      <c r="E7" s="33">
        <v>35.090000000000003</v>
      </c>
      <c r="F7" s="34">
        <f t="shared" si="0"/>
        <v>20.353828306264504</v>
      </c>
      <c r="G7" s="35">
        <v>30</v>
      </c>
      <c r="H7" s="36">
        <f t="shared" si="1"/>
        <v>49.09</v>
      </c>
      <c r="I7" s="115"/>
      <c r="K7" s="30"/>
    </row>
    <row r="8" spans="2:15">
      <c r="B8" s="31" t="s">
        <v>199</v>
      </c>
      <c r="C8" s="32">
        <v>0.1991</v>
      </c>
      <c r="D8" s="33">
        <v>1.1100000000000001</v>
      </c>
      <c r="E8" s="33">
        <v>48.99</v>
      </c>
      <c r="F8" s="34">
        <f t="shared" si="0"/>
        <v>28.416473317865432</v>
      </c>
      <c r="G8" s="35">
        <v>30</v>
      </c>
      <c r="H8" s="36">
        <f t="shared" si="1"/>
        <v>75.790000000000006</v>
      </c>
      <c r="I8" s="115"/>
      <c r="K8" s="30"/>
    </row>
    <row r="9" spans="2:15" ht="13.7" customHeight="1">
      <c r="B9" s="31"/>
      <c r="C9" s="31"/>
      <c r="D9" s="109" t="s">
        <v>186</v>
      </c>
      <c r="E9" s="110"/>
      <c r="F9" s="111"/>
      <c r="G9" s="38"/>
      <c r="H9" s="39">
        <f>AVERAGE(H3:H8)</f>
        <v>74.250000000000014</v>
      </c>
      <c r="I9" s="31"/>
      <c r="K9" s="30"/>
    </row>
    <row r="10" spans="2:15" ht="13.7" customHeight="1">
      <c r="B10" s="31"/>
      <c r="C10" s="31"/>
      <c r="D10" s="109" t="s">
        <v>187</v>
      </c>
      <c r="E10" s="110"/>
      <c r="F10" s="111"/>
      <c r="G10" s="38"/>
      <c r="H10" s="39">
        <f>STDEVA(H3:H8)</f>
        <v>18.569071059156347</v>
      </c>
      <c r="I10" s="31"/>
      <c r="K10" s="30"/>
    </row>
    <row r="11" spans="2:15" ht="13.7" customHeight="1">
      <c r="B11" s="31"/>
      <c r="C11" s="31"/>
      <c r="D11" s="112" t="s">
        <v>188</v>
      </c>
      <c r="E11" s="112"/>
      <c r="F11" s="112"/>
      <c r="G11" s="41"/>
      <c r="H11" s="39">
        <f>STDEVA(H3:H8)</f>
        <v>18.569071059156347</v>
      </c>
      <c r="I11" s="31"/>
      <c r="K11" s="30"/>
    </row>
    <row r="12" spans="2:15" ht="13.7" customHeight="1">
      <c r="B12" s="31"/>
      <c r="C12" s="31"/>
      <c r="D12" s="112" t="s">
        <v>189</v>
      </c>
      <c r="E12" s="112"/>
      <c r="F12" s="112"/>
      <c r="G12" s="41"/>
      <c r="H12" s="39">
        <f>ROUND(AVERAGE(H3:H8),2)</f>
        <v>74.25</v>
      </c>
      <c r="I12" s="31"/>
    </row>
    <row r="13" spans="2:15" ht="13.7" customHeight="1">
      <c r="O13" s="40"/>
    </row>
  </sheetData>
  <mergeCells count="5">
    <mergeCell ref="D10:F10"/>
    <mergeCell ref="D11:F11"/>
    <mergeCell ref="D12:F12"/>
    <mergeCell ref="I3:I8"/>
    <mergeCell ref="D9:F9"/>
  </mergeCells>
  <phoneticPr fontId="2" type="noConversion"/>
  <pageMargins left="0.7" right="0.7" top="0.75" bottom="0.75" header="0.3" footer="0.3"/>
  <pageSetup paperSize="9" orientation="portrait" horizontalDpi="1200" verticalDpi="12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A713D-DFE3-4C2D-BB30-F44A41ADA5FE}">
  <dimension ref="B2:O13"/>
  <sheetViews>
    <sheetView zoomScaleNormal="100" workbookViewId="0">
      <selection sqref="A1:XFD1048576"/>
    </sheetView>
  </sheetViews>
  <sheetFormatPr defaultColWidth="8.875" defaultRowHeight="12.6"/>
  <cols>
    <col min="1" max="1" width="1.375" style="37" customWidth="1"/>
    <col min="2" max="2" width="8.875" style="37"/>
    <col min="3" max="3" width="12.375" style="37" customWidth="1"/>
    <col min="4" max="4" width="20.125" style="37" customWidth="1"/>
    <col min="5" max="5" width="11.625" style="37" customWidth="1"/>
    <col min="6" max="6" width="17.75" style="37" customWidth="1"/>
    <col min="7" max="7" width="14.25" style="37" customWidth="1"/>
    <col min="8" max="9" width="15.625" style="37" customWidth="1"/>
    <col min="10" max="10" width="10.125" style="37" customWidth="1"/>
    <col min="11" max="11" width="9.75" style="37" bestFit="1" customWidth="1"/>
    <col min="12" max="12" width="15.375" style="37" customWidth="1"/>
    <col min="13" max="13" width="17.625" style="37" customWidth="1"/>
    <col min="14" max="14" width="9" style="37" bestFit="1" customWidth="1"/>
    <col min="15" max="15" width="10" style="37" customWidth="1"/>
    <col min="16" max="16" width="8.875" style="37"/>
    <col min="17" max="17" width="13.25" style="37" customWidth="1"/>
    <col min="18" max="18" width="10.875" style="37" customWidth="1"/>
    <col min="19" max="16384" width="8.875" style="37"/>
  </cols>
  <sheetData>
    <row r="2" spans="2:15" s="30" customFormat="1" ht="15.95">
      <c r="B2" s="79" t="s">
        <v>171</v>
      </c>
      <c r="C2" s="79" t="s">
        <v>200</v>
      </c>
      <c r="D2" s="79" t="s">
        <v>201</v>
      </c>
      <c r="E2" s="79" t="s">
        <v>174</v>
      </c>
      <c r="F2" s="79" t="s">
        <v>202</v>
      </c>
      <c r="G2" s="79" t="s">
        <v>176</v>
      </c>
      <c r="H2" s="79" t="s">
        <v>203</v>
      </c>
      <c r="I2" s="77" t="s">
        <v>178</v>
      </c>
    </row>
    <row r="3" spans="2:15" ht="13.35" customHeight="1">
      <c r="B3" s="31" t="s">
        <v>204</v>
      </c>
      <c r="C3" s="32">
        <v>0.23369999999999999</v>
      </c>
      <c r="D3" s="33">
        <v>0.81</v>
      </c>
      <c r="E3" s="33">
        <v>11.97</v>
      </c>
      <c r="F3" s="34">
        <f>E3/1.724</f>
        <v>6.9431554524361951</v>
      </c>
      <c r="G3" s="35">
        <v>30</v>
      </c>
      <c r="H3" s="36">
        <f>ROUND(F3*D3*G3*(1-C3)*0.1,2)</f>
        <v>12.93</v>
      </c>
      <c r="I3" s="114" t="s">
        <v>180</v>
      </c>
      <c r="K3" s="30"/>
    </row>
    <row r="4" spans="2:15">
      <c r="B4" s="31" t="s">
        <v>205</v>
      </c>
      <c r="C4" s="32">
        <v>0.15939999999999999</v>
      </c>
      <c r="D4" s="33">
        <v>0.9</v>
      </c>
      <c r="E4" s="33">
        <v>25.32</v>
      </c>
      <c r="F4" s="34">
        <f t="shared" ref="F4:F8" si="0">E4/1.724</f>
        <v>14.68677494199536</v>
      </c>
      <c r="G4" s="35">
        <v>30</v>
      </c>
      <c r="H4" s="36">
        <f t="shared" ref="H4:H8" si="1">ROUND(F4*D4*G4*(1-C4)*0.1,2)</f>
        <v>33.33</v>
      </c>
      <c r="I4" s="115"/>
      <c r="K4" s="30"/>
    </row>
    <row r="5" spans="2:15">
      <c r="B5" s="31" t="s">
        <v>206</v>
      </c>
      <c r="C5" s="32">
        <v>0.1822</v>
      </c>
      <c r="D5" s="33">
        <v>1.0900000000000001</v>
      </c>
      <c r="E5" s="33">
        <v>43.09</v>
      </c>
      <c r="F5" s="34">
        <f t="shared" si="0"/>
        <v>24.994199535962878</v>
      </c>
      <c r="G5" s="35">
        <v>30</v>
      </c>
      <c r="H5" s="36">
        <f t="shared" si="1"/>
        <v>66.84</v>
      </c>
      <c r="I5" s="115"/>
      <c r="K5" s="30"/>
    </row>
    <row r="6" spans="2:15">
      <c r="B6" s="31" t="s">
        <v>207</v>
      </c>
      <c r="C6" s="32">
        <v>0.23480000000000001</v>
      </c>
      <c r="D6" s="33">
        <v>1</v>
      </c>
      <c r="E6" s="33">
        <v>40.950000000000003</v>
      </c>
      <c r="F6" s="34">
        <f t="shared" si="0"/>
        <v>23.752900232018565</v>
      </c>
      <c r="G6" s="35">
        <v>30</v>
      </c>
      <c r="H6" s="36">
        <f t="shared" si="1"/>
        <v>54.53</v>
      </c>
      <c r="I6" s="115"/>
      <c r="K6" s="30"/>
    </row>
    <row r="7" spans="2:15">
      <c r="B7" s="31" t="s">
        <v>208</v>
      </c>
      <c r="C7" s="32">
        <v>0.22040000000000001</v>
      </c>
      <c r="D7" s="33">
        <v>1.1499999999999999</v>
      </c>
      <c r="E7" s="33">
        <v>40.130000000000003</v>
      </c>
      <c r="F7" s="34">
        <f t="shared" si="0"/>
        <v>23.277262180974478</v>
      </c>
      <c r="G7" s="35">
        <v>30</v>
      </c>
      <c r="H7" s="36">
        <f t="shared" si="1"/>
        <v>62.61</v>
      </c>
      <c r="I7" s="115"/>
      <c r="K7" s="30"/>
    </row>
    <row r="8" spans="2:15">
      <c r="B8" s="31" t="s">
        <v>209</v>
      </c>
      <c r="C8" s="32">
        <v>0.21179999999999999</v>
      </c>
      <c r="D8" s="33">
        <v>0.9</v>
      </c>
      <c r="E8" s="33">
        <v>20.81</v>
      </c>
      <c r="F8" s="34">
        <f t="shared" si="0"/>
        <v>12.070765661252899</v>
      </c>
      <c r="G8" s="35">
        <v>30</v>
      </c>
      <c r="H8" s="36">
        <f t="shared" si="1"/>
        <v>25.69</v>
      </c>
      <c r="I8" s="115"/>
      <c r="K8" s="30"/>
    </row>
    <row r="9" spans="2:15" ht="13.7" customHeight="1">
      <c r="B9" s="31"/>
      <c r="C9" s="31"/>
      <c r="D9" s="109" t="s">
        <v>186</v>
      </c>
      <c r="E9" s="110"/>
      <c r="F9" s="111"/>
      <c r="G9" s="38"/>
      <c r="H9" s="39">
        <f>AVERAGE(H3:H8)</f>
        <v>42.655000000000001</v>
      </c>
      <c r="I9" s="31"/>
      <c r="K9" s="30"/>
    </row>
    <row r="10" spans="2:15" ht="13.7" customHeight="1">
      <c r="B10" s="31"/>
      <c r="C10" s="31"/>
      <c r="D10" s="109" t="s">
        <v>187</v>
      </c>
      <c r="E10" s="110"/>
      <c r="F10" s="111"/>
      <c r="G10" s="38"/>
      <c r="H10" s="39">
        <f>STDEVA(H3:H8)</f>
        <v>21.828762447743109</v>
      </c>
      <c r="I10" s="31"/>
      <c r="K10" s="30"/>
    </row>
    <row r="11" spans="2:15" ht="13.7" customHeight="1">
      <c r="B11" s="31"/>
      <c r="C11" s="31"/>
      <c r="D11" s="112" t="s">
        <v>188</v>
      </c>
      <c r="E11" s="112"/>
      <c r="F11" s="112"/>
      <c r="G11" s="41"/>
      <c r="H11" s="39">
        <f>STDEVA(H3:H8)</f>
        <v>21.828762447743109</v>
      </c>
      <c r="I11" s="31"/>
      <c r="K11" s="30"/>
    </row>
    <row r="12" spans="2:15" ht="13.7" customHeight="1">
      <c r="B12" s="31"/>
      <c r="C12" s="31"/>
      <c r="D12" s="112" t="s">
        <v>189</v>
      </c>
      <c r="E12" s="112"/>
      <c r="F12" s="112"/>
      <c r="G12" s="41"/>
      <c r="H12" s="39">
        <f>ROUND(AVERAGE(H3:H8),2)</f>
        <v>42.66</v>
      </c>
      <c r="I12" s="31"/>
    </row>
    <row r="13" spans="2:15" ht="13.7" customHeight="1">
      <c r="O13" s="40"/>
    </row>
  </sheetData>
  <mergeCells count="5">
    <mergeCell ref="D9:F9"/>
    <mergeCell ref="D10:F10"/>
    <mergeCell ref="D11:F11"/>
    <mergeCell ref="D12:F12"/>
    <mergeCell ref="I3:I8"/>
  </mergeCells>
  <phoneticPr fontId="2" type="noConversion"/>
  <pageMargins left="0.7" right="0.7" top="0.75" bottom="0.75" header="0.3" footer="0.3"/>
  <pageSetup paperSize="9" orientation="portrait" horizontalDpi="1200" verticalDpi="120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ECE86-898F-401F-9AB2-D0CA70B820F9}">
  <dimension ref="B2:O13"/>
  <sheetViews>
    <sheetView workbookViewId="0">
      <selection activeCell="B2" sqref="B2:H8"/>
    </sheetView>
  </sheetViews>
  <sheetFormatPr defaultColWidth="8.875" defaultRowHeight="12.6"/>
  <cols>
    <col min="1" max="1" width="1.375" style="37" customWidth="1"/>
    <col min="2" max="2" width="8.875" style="37"/>
    <col min="3" max="3" width="12.375" style="37" customWidth="1"/>
    <col min="4" max="4" width="20.125" style="37" customWidth="1"/>
    <col min="5" max="5" width="11.625" style="37" customWidth="1"/>
    <col min="6" max="6" width="17.75" style="37" customWidth="1"/>
    <col min="7" max="7" width="14.25" style="37" customWidth="1"/>
    <col min="8" max="9" width="15.625" style="37" customWidth="1"/>
    <col min="10" max="10" width="10.125" style="37" customWidth="1"/>
    <col min="11" max="11" width="9.75" style="37" bestFit="1" customWidth="1"/>
    <col min="12" max="12" width="15.375" style="37" customWidth="1"/>
    <col min="13" max="13" width="17.625" style="37" customWidth="1"/>
    <col min="14" max="14" width="9" style="37" bestFit="1" customWidth="1"/>
    <col min="15" max="15" width="10" style="37" customWidth="1"/>
    <col min="16" max="16" width="8.875" style="37"/>
    <col min="17" max="17" width="13.25" style="37" customWidth="1"/>
    <col min="18" max="18" width="10.875" style="37" customWidth="1"/>
    <col min="19" max="16384" width="8.875" style="37"/>
  </cols>
  <sheetData>
    <row r="2" spans="2:15" s="30" customFormat="1" ht="15.95">
      <c r="B2" s="79" t="s">
        <v>171</v>
      </c>
      <c r="C2" s="79" t="s">
        <v>210</v>
      </c>
      <c r="D2" s="79" t="s">
        <v>211</v>
      </c>
      <c r="E2" s="79" t="s">
        <v>174</v>
      </c>
      <c r="F2" s="79" t="s">
        <v>212</v>
      </c>
      <c r="G2" s="79" t="s">
        <v>176</v>
      </c>
      <c r="H2" s="79" t="s">
        <v>213</v>
      </c>
      <c r="I2" s="77" t="s">
        <v>178</v>
      </c>
    </row>
    <row r="3" spans="2:15" ht="13.35" customHeight="1">
      <c r="B3" s="31" t="s">
        <v>214</v>
      </c>
      <c r="C3" s="32">
        <v>0.22370000000000001</v>
      </c>
      <c r="D3" s="33">
        <v>1.07</v>
      </c>
      <c r="E3" s="33">
        <v>20.78</v>
      </c>
      <c r="F3" s="34">
        <f>E3/1.724</f>
        <v>12.053364269141532</v>
      </c>
      <c r="G3" s="35">
        <v>30</v>
      </c>
      <c r="H3" s="36">
        <f>ROUND(F3*D3*G3*(1-C3)*0.1,2)</f>
        <v>30.04</v>
      </c>
      <c r="I3" s="114" t="s">
        <v>180</v>
      </c>
      <c r="K3" s="30"/>
    </row>
    <row r="4" spans="2:15">
      <c r="B4" s="31" t="s">
        <v>215</v>
      </c>
      <c r="C4" s="32">
        <v>8.8400000000000006E-2</v>
      </c>
      <c r="D4" s="33">
        <v>0.99</v>
      </c>
      <c r="E4" s="33">
        <v>51.79</v>
      </c>
      <c r="F4" s="34">
        <f t="shared" ref="F4:F8" si="0">E4/1.724</f>
        <v>30.04060324825986</v>
      </c>
      <c r="G4" s="35">
        <v>30</v>
      </c>
      <c r="H4" s="36">
        <f t="shared" ref="H4:H8" si="1">ROUND(F4*D4*G4*(1-C4)*0.1,2)</f>
        <v>81.33</v>
      </c>
      <c r="I4" s="115"/>
      <c r="K4" s="30"/>
    </row>
    <row r="5" spans="2:15">
      <c r="B5" s="31" t="s">
        <v>216</v>
      </c>
      <c r="C5" s="32">
        <v>0.19939999999999999</v>
      </c>
      <c r="D5" s="33">
        <v>0.84</v>
      </c>
      <c r="E5" s="33">
        <v>37.44</v>
      </c>
      <c r="F5" s="34">
        <f t="shared" si="0"/>
        <v>21.716937354988399</v>
      </c>
      <c r="G5" s="35">
        <v>30</v>
      </c>
      <c r="H5" s="36">
        <f t="shared" si="1"/>
        <v>43.81</v>
      </c>
      <c r="I5" s="115"/>
      <c r="K5" s="30"/>
    </row>
    <row r="6" spans="2:15">
      <c r="B6" s="31" t="s">
        <v>217</v>
      </c>
      <c r="C6" s="32">
        <v>0.22800000000000001</v>
      </c>
      <c r="D6" s="33">
        <v>0.98</v>
      </c>
      <c r="E6" s="33">
        <v>26.46</v>
      </c>
      <c r="F6" s="34">
        <f t="shared" si="0"/>
        <v>15.348027842227379</v>
      </c>
      <c r="G6" s="35">
        <v>30</v>
      </c>
      <c r="H6" s="36">
        <f t="shared" si="1"/>
        <v>34.840000000000003</v>
      </c>
      <c r="I6" s="115"/>
      <c r="K6" s="30"/>
    </row>
    <row r="7" spans="2:15">
      <c r="B7" s="31" t="s">
        <v>218</v>
      </c>
      <c r="C7" s="32">
        <v>0.1075</v>
      </c>
      <c r="D7" s="33">
        <v>0.84</v>
      </c>
      <c r="E7" s="33">
        <v>55.39</v>
      </c>
      <c r="F7" s="34">
        <f t="shared" si="0"/>
        <v>32.12877030162413</v>
      </c>
      <c r="G7" s="35">
        <v>30</v>
      </c>
      <c r="H7" s="36">
        <f t="shared" si="1"/>
        <v>72.260000000000005</v>
      </c>
      <c r="I7" s="115"/>
      <c r="K7" s="30"/>
    </row>
    <row r="8" spans="2:15">
      <c r="B8" s="31" t="s">
        <v>219</v>
      </c>
      <c r="C8" s="32">
        <v>0.16139999999999999</v>
      </c>
      <c r="D8" s="33">
        <v>1.04</v>
      </c>
      <c r="E8" s="33">
        <v>32.92</v>
      </c>
      <c r="F8" s="34">
        <f t="shared" si="0"/>
        <v>19.095127610208817</v>
      </c>
      <c r="G8" s="35">
        <v>30</v>
      </c>
      <c r="H8" s="36">
        <f t="shared" si="1"/>
        <v>49.96</v>
      </c>
      <c r="I8" s="115"/>
      <c r="K8" s="30"/>
    </row>
    <row r="9" spans="2:15" ht="13.7" customHeight="1">
      <c r="B9" s="31"/>
      <c r="C9" s="31"/>
      <c r="D9" s="109" t="s">
        <v>186</v>
      </c>
      <c r="E9" s="110"/>
      <c r="F9" s="111"/>
      <c r="G9" s="38"/>
      <c r="H9" s="39">
        <f>AVERAGE(H3:H8)</f>
        <v>52.04</v>
      </c>
      <c r="I9" s="31"/>
      <c r="K9" s="30"/>
    </row>
    <row r="10" spans="2:15" ht="13.7" customHeight="1">
      <c r="B10" s="31"/>
      <c r="C10" s="31"/>
      <c r="D10" s="109" t="s">
        <v>187</v>
      </c>
      <c r="E10" s="110"/>
      <c r="F10" s="111"/>
      <c r="G10" s="38"/>
      <c r="H10" s="39">
        <f>STDEVA(H3:H8)</f>
        <v>20.584711802694727</v>
      </c>
      <c r="I10" s="31"/>
      <c r="K10" s="30"/>
    </row>
    <row r="11" spans="2:15" ht="13.7" customHeight="1">
      <c r="B11" s="31"/>
      <c r="C11" s="31"/>
      <c r="D11" s="112" t="s">
        <v>188</v>
      </c>
      <c r="E11" s="112"/>
      <c r="F11" s="112"/>
      <c r="G11" s="41"/>
      <c r="H11" s="39">
        <f>STDEVA(H3:H8)</f>
        <v>20.584711802694727</v>
      </c>
      <c r="I11" s="31"/>
      <c r="K11" s="30"/>
    </row>
    <row r="12" spans="2:15" ht="13.7" customHeight="1">
      <c r="B12" s="31"/>
      <c r="C12" s="31"/>
      <c r="D12" s="112" t="s">
        <v>189</v>
      </c>
      <c r="E12" s="112"/>
      <c r="F12" s="112"/>
      <c r="G12" s="41"/>
      <c r="H12" s="39">
        <f>ROUND(AVERAGE(H3:H8),2)</f>
        <v>52.04</v>
      </c>
      <c r="I12" s="31"/>
    </row>
    <row r="13" spans="2:15" ht="13.7" customHeight="1">
      <c r="O13" s="40"/>
    </row>
  </sheetData>
  <mergeCells count="5">
    <mergeCell ref="I3:I8"/>
    <mergeCell ref="D9:F9"/>
    <mergeCell ref="D10:F10"/>
    <mergeCell ref="D11:F11"/>
    <mergeCell ref="D12:F12"/>
  </mergeCells>
  <phoneticPr fontId="2" type="noConversion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DC1F0F2D97C04690DF7AC407C65BA5" ma:contentTypeVersion="17" ma:contentTypeDescription="Create a new document." ma:contentTypeScope="" ma:versionID="943cb474adb21e697a753adce12a1c80">
  <xsd:schema xmlns:xsd="http://www.w3.org/2001/XMLSchema" xmlns:xs="http://www.w3.org/2001/XMLSchema" xmlns:p="http://schemas.microsoft.com/office/2006/metadata/properties" xmlns:ns2="5944c9fc-9421-4c39-b608-61ce31788618" xmlns:ns3="3ba820af-9c36-47fb-8383-9944acc4573c" targetNamespace="http://schemas.microsoft.com/office/2006/metadata/properties" ma:root="true" ma:fieldsID="37ce09a441ee91319e216af9ffa0720c" ns2:_="" ns3:_="">
    <xsd:import namespace="5944c9fc-9421-4c39-b608-61ce31788618"/>
    <xsd:import namespace="3ba820af-9c36-47fb-8383-9944acc457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44c9fc-9421-4c39-b608-61ce317886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b97863a-9c53-4d79-aa62-b4edf9878b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a820af-9c36-47fb-8383-9944acc4573c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4e236bb-6ba1-491a-998c-53c379aa7070}" ma:internalName="TaxCatchAll" ma:showField="CatchAllData" ma:web="3ba820af-9c36-47fb-8383-9944acc457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ba820af-9c36-47fb-8383-9944acc4573c" xsi:nil="true"/>
    <lcf76f155ced4ddcb4097134ff3c332f xmlns="5944c9fc-9421-4c39-b608-61ce3178861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8980EB7-6B89-412B-B7E9-613E1E8ED07A}"/>
</file>

<file path=customXml/itemProps2.xml><?xml version="1.0" encoding="utf-8"?>
<ds:datastoreItem xmlns:ds="http://schemas.openxmlformats.org/officeDocument/2006/customXml" ds:itemID="{67F83C97-F0BE-4589-B5E0-107300CB6F50}"/>
</file>

<file path=customXml/itemProps3.xml><?xml version="1.0" encoding="utf-8"?>
<ds:datastoreItem xmlns:ds="http://schemas.openxmlformats.org/officeDocument/2006/customXml" ds:itemID="{6FD5D1C3-9238-4C70-B0AB-4B322408B4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林茂</dc:creator>
  <cp:keywords/>
  <dc:description/>
  <cp:lastModifiedBy>Cai May Tan</cp:lastModifiedBy>
  <cp:revision/>
  <dcterms:created xsi:type="dcterms:W3CDTF">2015-06-05T18:19:34Z</dcterms:created>
  <dcterms:modified xsi:type="dcterms:W3CDTF">2022-10-10T17:58:15Z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0x010100CDDC1F0F2D97C04690DF7AC407C65BA5</vt:lpwstr>
  </property>
  <property fmtid="{D5CDD505-2E9C-101B-9397-08002B2CF9AE}" pid="3" name="MediaServiceImageTags">
    <vt:lpwstr/>
  </property>
</Properties>
</file>