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1.xml" ContentType="application/vnd.openxmlformats-officedocument.spreadsheetml.comments+xml"/>
  <Override PartName="/xl/comments6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7.xml" ContentType="application/vnd.openxmlformats-officedocument.spreadsheetml.comments+xml"/>
  <Override PartName="/xl/comments14.xml" ContentType="application/vnd.openxmlformats-officedocument.spreadsheetml.comments+xml"/>
  <Override PartName="/xl/comments4.xml" ContentType="application/vnd.openxmlformats-officedocument.spreadsheetml.comments+xml"/>
  <Override PartName="/xl/comments15.xml" ContentType="application/vnd.openxmlformats-officedocument.spreadsheetml.comments+xml"/>
  <Override PartName="/xl/comments8.xml" ContentType="application/vnd.openxmlformats-officedocument.spreadsheetml.comments+xml"/>
  <Override PartName="/xl/comments16.xml" ContentType="application/vnd.openxmlformats-officedocument.spreadsheetml.comments+xml"/>
  <Override PartName="/xl/comments2.xml" ContentType="application/vnd.openxmlformats-officedocument.spreadsheetml.comments+xml"/>
  <Override PartName="/xl/comments17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5.xml" ContentType="application/vnd.openxmlformats-officedocument.spreadsheetml.comments+xml"/>
  <Override PartName="/xl/comments10.xml" ContentType="application/vnd.openxmlformats-officedocument.spreadsheetml.comments+xml"/>
  <Override PartName="/xl/comments3.xml" ContentType="application/vnd.openxmlformats-officedocument.spreadsheetml.comments+xml"/>
  <Override PartName="/xl/comments18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环保桥\我的项目\VCS\张掖草原项目\2748-VCS_CCB Zhangye Improved Grassland Management Project\Verra findings\VCS2748-IGM_Zhangye Response to Verra findings R1\PDF\"/>
    </mc:Choice>
  </mc:AlternateContent>
  <xr:revisionPtr revIDLastSave="0" documentId="13_ncr:1_{CD42E109-96C2-4993-BB67-BF2D60EA8DA9}" xr6:coauthVersionLast="47" xr6:coauthVersionMax="47" xr10:uidLastSave="{00000000-0000-0000-0000-000000000000}"/>
  <bookViews>
    <workbookView xWindow="-110" yWindow="-110" windowWidth="19420" windowHeight="10560" tabRatio="781" activeTab="5" xr2:uid="{00000000-000D-0000-FFFF-FFFF00000000}"/>
  </bookViews>
  <sheets>
    <sheet name="ER Calculation" sheetId="18" r:id="rId1"/>
    <sheet name="Baseline Emission" sheetId="2" r:id="rId2"/>
    <sheet name="Project Emission" sheetId="22" r:id="rId3"/>
    <sheet name="Leakage Emission" sheetId="23" r:id="rId4"/>
    <sheet name="Project Removal" sheetId="20" r:id="rId5"/>
    <sheet name="strata1" sheetId="24" r:id="rId6"/>
    <sheet name="strata2" sheetId="25" r:id="rId7"/>
    <sheet name="strata3" sheetId="26" r:id="rId8"/>
    <sheet name="strata4" sheetId="28" r:id="rId9"/>
    <sheet name="strata5" sheetId="29" r:id="rId10"/>
    <sheet name="strata6" sheetId="30" r:id="rId11"/>
    <sheet name="Sheet7" sheetId="31" r:id="rId12"/>
    <sheet name="strata8" sheetId="32" r:id="rId13"/>
    <sheet name="strata14" sheetId="39" r:id="rId14"/>
    <sheet name="strata9" sheetId="33" r:id="rId15"/>
    <sheet name="strata10" sheetId="35" r:id="rId16"/>
    <sheet name="strata11" sheetId="36" r:id="rId17"/>
    <sheet name="strata12" sheetId="37" r:id="rId18"/>
    <sheet name="strata13" sheetId="38" r:id="rId19"/>
    <sheet name="strata15" sheetId="40" r:id="rId20"/>
    <sheet name="strata16" sheetId="41" r:id="rId21"/>
    <sheet name="strata17" sheetId="42" r:id="rId22"/>
    <sheet name="strata18" sheetId="4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23" l="1"/>
  <c r="Q7" i="23"/>
  <c r="Q6" i="23"/>
  <c r="Q5" i="23"/>
  <c r="P8" i="23"/>
  <c r="P7" i="23"/>
  <c r="P6" i="23"/>
  <c r="P5" i="23"/>
  <c r="O8" i="23"/>
  <c r="O7" i="23"/>
  <c r="O6" i="23"/>
  <c r="O5" i="23"/>
  <c r="D35" i="23"/>
  <c r="Q8" i="22" l="1"/>
  <c r="Q7" i="22"/>
  <c r="Q6" i="22"/>
  <c r="Q5" i="22"/>
  <c r="P8" i="22"/>
  <c r="P7" i="22"/>
  <c r="P6" i="22"/>
  <c r="P5" i="22"/>
  <c r="O8" i="22"/>
  <c r="O7" i="22"/>
  <c r="O6" i="22"/>
  <c r="O5" i="22"/>
  <c r="D35" i="22"/>
  <c r="O4" i="22" s="1"/>
  <c r="R9" i="22" l="1"/>
  <c r="J4" i="2" l="1"/>
  <c r="E13" i="22"/>
  <c r="F13" i="22"/>
  <c r="G13" i="22"/>
  <c r="H13" i="22"/>
  <c r="I13" i="22"/>
  <c r="D13" i="22"/>
  <c r="I12" i="22"/>
  <c r="E12" i="22"/>
  <c r="F12" i="22"/>
  <c r="G12" i="22"/>
  <c r="H12" i="22"/>
  <c r="D12" i="22"/>
  <c r="H35" i="23" l="1"/>
  <c r="I16" i="18"/>
  <c r="D26" i="20"/>
  <c r="F13" i="20"/>
  <c r="D13" i="20" s="1"/>
  <c r="D22" i="20" s="1"/>
  <c r="D5" i="20"/>
  <c r="D6" i="20"/>
  <c r="D7" i="20"/>
  <c r="D8" i="20"/>
  <c r="D9" i="20"/>
  <c r="D10" i="20"/>
  <c r="D11" i="20"/>
  <c r="D12" i="20"/>
  <c r="D14" i="20"/>
  <c r="D15" i="20"/>
  <c r="D16" i="20"/>
  <c r="D17" i="20"/>
  <c r="D18" i="20"/>
  <c r="D19" i="20"/>
  <c r="D20" i="20"/>
  <c r="D21" i="20"/>
  <c r="F21" i="20"/>
  <c r="E21" i="20"/>
  <c r="F20" i="20"/>
  <c r="E20" i="20"/>
  <c r="F19" i="20"/>
  <c r="E19" i="20"/>
  <c r="F18" i="20"/>
  <c r="E18" i="20"/>
  <c r="F17" i="20"/>
  <c r="E17" i="20"/>
  <c r="F16" i="20"/>
  <c r="E16" i="20"/>
  <c r="F15" i="20"/>
  <c r="E15" i="20"/>
  <c r="F14" i="20"/>
  <c r="E14" i="20"/>
  <c r="E13" i="20"/>
  <c r="F12" i="20"/>
  <c r="E12" i="20"/>
  <c r="F11" i="20"/>
  <c r="E11" i="20"/>
  <c r="F10" i="20"/>
  <c r="E10" i="20"/>
  <c r="F9" i="20"/>
  <c r="F8" i="20"/>
  <c r="F7" i="20"/>
  <c r="E9" i="20"/>
  <c r="E8" i="20"/>
  <c r="E7" i="20"/>
  <c r="E4" i="20"/>
  <c r="F4" i="20"/>
  <c r="E5" i="20"/>
  <c r="F5" i="20"/>
  <c r="E6" i="20"/>
  <c r="F6" i="20"/>
  <c r="C22" i="20"/>
  <c r="F16" i="43"/>
  <c r="H16" i="43" s="1"/>
  <c r="F15" i="43"/>
  <c r="H15" i="43" s="1"/>
  <c r="F14" i="43"/>
  <c r="H14" i="43" s="1"/>
  <c r="F13" i="43"/>
  <c r="H13" i="43" s="1"/>
  <c r="F12" i="43"/>
  <c r="H12" i="43" s="1"/>
  <c r="F11" i="43"/>
  <c r="H11" i="43" s="1"/>
  <c r="F8" i="43"/>
  <c r="H8" i="43" s="1"/>
  <c r="F7" i="43"/>
  <c r="H7" i="43" s="1"/>
  <c r="F6" i="43"/>
  <c r="H6" i="43" s="1"/>
  <c r="F5" i="43"/>
  <c r="H5" i="43" s="1"/>
  <c r="F4" i="43"/>
  <c r="H4" i="43" s="1"/>
  <c r="F3" i="43"/>
  <c r="H3" i="43" s="1"/>
  <c r="F16" i="42"/>
  <c r="H16" i="42" s="1"/>
  <c r="F15" i="42"/>
  <c r="H15" i="42" s="1"/>
  <c r="F14" i="42"/>
  <c r="H14" i="42" s="1"/>
  <c r="F13" i="42"/>
  <c r="H13" i="42" s="1"/>
  <c r="F12" i="42"/>
  <c r="H12" i="42" s="1"/>
  <c r="F11" i="42"/>
  <c r="H11" i="42" s="1"/>
  <c r="F8" i="42"/>
  <c r="H8" i="42" s="1"/>
  <c r="F7" i="42"/>
  <c r="H7" i="42" s="1"/>
  <c r="F6" i="42"/>
  <c r="H6" i="42" s="1"/>
  <c r="F5" i="42"/>
  <c r="H5" i="42" s="1"/>
  <c r="F4" i="42"/>
  <c r="H4" i="42" s="1"/>
  <c r="F3" i="42"/>
  <c r="H3" i="42" s="1"/>
  <c r="F16" i="41"/>
  <c r="H16" i="41" s="1"/>
  <c r="G24" i="41" s="1"/>
  <c r="F15" i="41"/>
  <c r="H15" i="41" s="1"/>
  <c r="G23" i="41" s="1"/>
  <c r="F14" i="41"/>
  <c r="H14" i="41" s="1"/>
  <c r="G22" i="41" s="1"/>
  <c r="F13" i="41"/>
  <c r="H13" i="41" s="1"/>
  <c r="G21" i="41" s="1"/>
  <c r="F12" i="41"/>
  <c r="H12" i="41" s="1"/>
  <c r="G20" i="41" s="1"/>
  <c r="F11" i="41"/>
  <c r="H11" i="41" s="1"/>
  <c r="G19" i="41" s="1"/>
  <c r="F8" i="41"/>
  <c r="H8" i="41" s="1"/>
  <c r="F7" i="41"/>
  <c r="H7" i="41" s="1"/>
  <c r="F6" i="41"/>
  <c r="H6" i="41" s="1"/>
  <c r="F5" i="41"/>
  <c r="H5" i="41" s="1"/>
  <c r="F4" i="41"/>
  <c r="H4" i="41" s="1"/>
  <c r="F3" i="41"/>
  <c r="H3" i="41" s="1"/>
  <c r="F16" i="40"/>
  <c r="H16" i="40" s="1"/>
  <c r="F15" i="40"/>
  <c r="H15" i="40" s="1"/>
  <c r="F14" i="40"/>
  <c r="H14" i="40" s="1"/>
  <c r="F13" i="40"/>
  <c r="H13" i="40" s="1"/>
  <c r="F12" i="40"/>
  <c r="H12" i="40" s="1"/>
  <c r="F11" i="40"/>
  <c r="H11" i="40" s="1"/>
  <c r="F8" i="40"/>
  <c r="H8" i="40" s="1"/>
  <c r="F7" i="40"/>
  <c r="H7" i="40" s="1"/>
  <c r="F6" i="40"/>
  <c r="H6" i="40" s="1"/>
  <c r="F5" i="40"/>
  <c r="H5" i="40" s="1"/>
  <c r="F4" i="40"/>
  <c r="H4" i="40" s="1"/>
  <c r="F3" i="40"/>
  <c r="H3" i="40" s="1"/>
  <c r="F16" i="39"/>
  <c r="H16" i="39" s="1"/>
  <c r="F15" i="39"/>
  <c r="H15" i="39" s="1"/>
  <c r="F14" i="39"/>
  <c r="H14" i="39" s="1"/>
  <c r="F13" i="39"/>
  <c r="H13" i="39" s="1"/>
  <c r="F12" i="39"/>
  <c r="H12" i="39" s="1"/>
  <c r="F11" i="39"/>
  <c r="H11" i="39" s="1"/>
  <c r="F8" i="39"/>
  <c r="H8" i="39" s="1"/>
  <c r="F7" i="39"/>
  <c r="H7" i="39" s="1"/>
  <c r="F6" i="39"/>
  <c r="H6" i="39" s="1"/>
  <c r="F5" i="39"/>
  <c r="H5" i="39" s="1"/>
  <c r="F4" i="39"/>
  <c r="H4" i="39" s="1"/>
  <c r="F3" i="39"/>
  <c r="H3" i="39" s="1"/>
  <c r="F16" i="38"/>
  <c r="H16" i="38" s="1"/>
  <c r="F15" i="38"/>
  <c r="H15" i="38" s="1"/>
  <c r="F14" i="38"/>
  <c r="H14" i="38" s="1"/>
  <c r="F13" i="38"/>
  <c r="H13" i="38" s="1"/>
  <c r="F12" i="38"/>
  <c r="H12" i="38" s="1"/>
  <c r="F11" i="38"/>
  <c r="H11" i="38" s="1"/>
  <c r="F8" i="38"/>
  <c r="H8" i="38" s="1"/>
  <c r="F7" i="38"/>
  <c r="H7" i="38" s="1"/>
  <c r="F6" i="38"/>
  <c r="H6" i="38" s="1"/>
  <c r="F5" i="38"/>
  <c r="H5" i="38" s="1"/>
  <c r="F4" i="38"/>
  <c r="H4" i="38" s="1"/>
  <c r="F3" i="38"/>
  <c r="H3" i="38" s="1"/>
  <c r="F22" i="37"/>
  <c r="H22" i="37" s="1"/>
  <c r="F21" i="37"/>
  <c r="H21" i="37" s="1"/>
  <c r="F20" i="37"/>
  <c r="H20" i="37" s="1"/>
  <c r="F19" i="37"/>
  <c r="H19" i="37" s="1"/>
  <c r="F18" i="37"/>
  <c r="H18" i="37" s="1"/>
  <c r="F17" i="37"/>
  <c r="H17" i="37" s="1"/>
  <c r="F16" i="37"/>
  <c r="H16" i="37" s="1"/>
  <c r="F15" i="37"/>
  <c r="H15" i="37" s="1"/>
  <c r="F14" i="37"/>
  <c r="H14" i="37" s="1"/>
  <c r="F11" i="37"/>
  <c r="H11" i="37" s="1"/>
  <c r="F10" i="37"/>
  <c r="H10" i="37" s="1"/>
  <c r="F9" i="37"/>
  <c r="H9" i="37" s="1"/>
  <c r="F8" i="37"/>
  <c r="H8" i="37" s="1"/>
  <c r="F7" i="37"/>
  <c r="H7" i="37" s="1"/>
  <c r="F6" i="37"/>
  <c r="H6" i="37" s="1"/>
  <c r="F5" i="37"/>
  <c r="H5" i="37" s="1"/>
  <c r="F4" i="37"/>
  <c r="H4" i="37" s="1"/>
  <c r="F3" i="37"/>
  <c r="H3" i="37" s="1"/>
  <c r="F16" i="36"/>
  <c r="H16" i="36" s="1"/>
  <c r="F15" i="36"/>
  <c r="H15" i="36" s="1"/>
  <c r="F14" i="36"/>
  <c r="H14" i="36" s="1"/>
  <c r="F13" i="36"/>
  <c r="H13" i="36" s="1"/>
  <c r="F12" i="36"/>
  <c r="H12" i="36" s="1"/>
  <c r="F11" i="36"/>
  <c r="H11" i="36" s="1"/>
  <c r="F8" i="36"/>
  <c r="H8" i="36" s="1"/>
  <c r="F7" i="36"/>
  <c r="H7" i="36" s="1"/>
  <c r="F6" i="36"/>
  <c r="H6" i="36" s="1"/>
  <c r="F5" i="36"/>
  <c r="H5" i="36" s="1"/>
  <c r="F4" i="36"/>
  <c r="H4" i="36" s="1"/>
  <c r="F3" i="36"/>
  <c r="H3" i="36" s="1"/>
  <c r="F11" i="35"/>
  <c r="H11" i="35" s="1"/>
  <c r="F22" i="35"/>
  <c r="H22" i="35" s="1"/>
  <c r="F21" i="35"/>
  <c r="H21" i="35" s="1"/>
  <c r="F20" i="35"/>
  <c r="H20" i="35" s="1"/>
  <c r="F19" i="35"/>
  <c r="H19" i="35" s="1"/>
  <c r="F18" i="35"/>
  <c r="H18" i="35" s="1"/>
  <c r="F17" i="35"/>
  <c r="H17" i="35" s="1"/>
  <c r="F16" i="35"/>
  <c r="H16" i="35" s="1"/>
  <c r="F15" i="35"/>
  <c r="H15" i="35" s="1"/>
  <c r="F14" i="35"/>
  <c r="H14" i="35" s="1"/>
  <c r="F10" i="35"/>
  <c r="H10" i="35" s="1"/>
  <c r="F9" i="35"/>
  <c r="H9" i="35" s="1"/>
  <c r="F8" i="35"/>
  <c r="H8" i="35" s="1"/>
  <c r="F7" i="35"/>
  <c r="H7" i="35" s="1"/>
  <c r="F6" i="35"/>
  <c r="H6" i="35" s="1"/>
  <c r="F5" i="35"/>
  <c r="H5" i="35" s="1"/>
  <c r="F4" i="35"/>
  <c r="H4" i="35" s="1"/>
  <c r="F3" i="35"/>
  <c r="H3" i="35" s="1"/>
  <c r="F16" i="33"/>
  <c r="H16" i="33" s="1"/>
  <c r="F15" i="33"/>
  <c r="H15" i="33" s="1"/>
  <c r="F14" i="33"/>
  <c r="H14" i="33" s="1"/>
  <c r="F13" i="33"/>
  <c r="H13" i="33" s="1"/>
  <c r="F12" i="33"/>
  <c r="H12" i="33" s="1"/>
  <c r="F11" i="33"/>
  <c r="H11" i="33" s="1"/>
  <c r="F8" i="33"/>
  <c r="H8" i="33" s="1"/>
  <c r="F7" i="33"/>
  <c r="H7" i="33" s="1"/>
  <c r="F6" i="33"/>
  <c r="H6" i="33" s="1"/>
  <c r="F5" i="33"/>
  <c r="H5" i="33" s="1"/>
  <c r="F4" i="33"/>
  <c r="H4" i="33" s="1"/>
  <c r="F3" i="33"/>
  <c r="H3" i="33" s="1"/>
  <c r="F22" i="32"/>
  <c r="H22" i="32" s="1"/>
  <c r="F21" i="32"/>
  <c r="H21" i="32" s="1"/>
  <c r="F20" i="32"/>
  <c r="H20" i="32" s="1"/>
  <c r="F19" i="32"/>
  <c r="H19" i="32" s="1"/>
  <c r="F18" i="32"/>
  <c r="H18" i="32" s="1"/>
  <c r="F17" i="32"/>
  <c r="H17" i="32" s="1"/>
  <c r="F16" i="32"/>
  <c r="H16" i="32" s="1"/>
  <c r="F15" i="32"/>
  <c r="H15" i="32" s="1"/>
  <c r="F14" i="32"/>
  <c r="H14" i="32" s="1"/>
  <c r="F11" i="32"/>
  <c r="H11" i="32" s="1"/>
  <c r="F10" i="32"/>
  <c r="H10" i="32" s="1"/>
  <c r="F9" i="32"/>
  <c r="H9" i="32" s="1"/>
  <c r="F8" i="32"/>
  <c r="H8" i="32" s="1"/>
  <c r="F7" i="32"/>
  <c r="H7" i="32" s="1"/>
  <c r="F6" i="32"/>
  <c r="H6" i="32" s="1"/>
  <c r="F5" i="32"/>
  <c r="H5" i="32" s="1"/>
  <c r="F4" i="32"/>
  <c r="H4" i="32" s="1"/>
  <c r="F3" i="32"/>
  <c r="H3" i="32" s="1"/>
  <c r="F16" i="31"/>
  <c r="H16" i="31" s="1"/>
  <c r="F15" i="31"/>
  <c r="H15" i="31" s="1"/>
  <c r="F14" i="31"/>
  <c r="H14" i="31" s="1"/>
  <c r="F13" i="31"/>
  <c r="H13" i="31" s="1"/>
  <c r="F12" i="31"/>
  <c r="H12" i="31" s="1"/>
  <c r="F11" i="31"/>
  <c r="H11" i="31" s="1"/>
  <c r="F8" i="31"/>
  <c r="H8" i="31" s="1"/>
  <c r="F7" i="31"/>
  <c r="H7" i="31" s="1"/>
  <c r="F6" i="31"/>
  <c r="H6" i="31" s="1"/>
  <c r="F5" i="31"/>
  <c r="H5" i="31" s="1"/>
  <c r="F4" i="31"/>
  <c r="H4" i="31" s="1"/>
  <c r="F3" i="31"/>
  <c r="H3" i="31" s="1"/>
  <c r="F16" i="30"/>
  <c r="H16" i="30" s="1"/>
  <c r="F15" i="30"/>
  <c r="H15" i="30" s="1"/>
  <c r="F14" i="30"/>
  <c r="H14" i="30" s="1"/>
  <c r="F13" i="30"/>
  <c r="H13" i="30" s="1"/>
  <c r="F12" i="30"/>
  <c r="H12" i="30" s="1"/>
  <c r="F11" i="30"/>
  <c r="H11" i="30" s="1"/>
  <c r="F8" i="30"/>
  <c r="H8" i="30" s="1"/>
  <c r="F7" i="30"/>
  <c r="H7" i="30" s="1"/>
  <c r="F6" i="30"/>
  <c r="H6" i="30" s="1"/>
  <c r="F5" i="30"/>
  <c r="H5" i="30" s="1"/>
  <c r="F4" i="30"/>
  <c r="H4" i="30" s="1"/>
  <c r="F3" i="30"/>
  <c r="H3" i="30" s="1"/>
  <c r="F16" i="29"/>
  <c r="H16" i="29" s="1"/>
  <c r="F15" i="29"/>
  <c r="H15" i="29" s="1"/>
  <c r="F14" i="29"/>
  <c r="H14" i="29" s="1"/>
  <c r="F13" i="29"/>
  <c r="H13" i="29" s="1"/>
  <c r="F12" i="29"/>
  <c r="H12" i="29" s="1"/>
  <c r="F11" i="29"/>
  <c r="H11" i="29" s="1"/>
  <c r="F8" i="29"/>
  <c r="H8" i="29" s="1"/>
  <c r="F7" i="29"/>
  <c r="H7" i="29" s="1"/>
  <c r="F6" i="29"/>
  <c r="H6" i="29" s="1"/>
  <c r="F5" i="29"/>
  <c r="H5" i="29" s="1"/>
  <c r="F4" i="29"/>
  <c r="H4" i="29" s="1"/>
  <c r="F3" i="29"/>
  <c r="H3" i="29" s="1"/>
  <c r="F16" i="28"/>
  <c r="H16" i="28" s="1"/>
  <c r="F15" i="28"/>
  <c r="H15" i="28" s="1"/>
  <c r="F14" i="28"/>
  <c r="H14" i="28" s="1"/>
  <c r="F13" i="28"/>
  <c r="H13" i="28" s="1"/>
  <c r="F12" i="28"/>
  <c r="H12" i="28" s="1"/>
  <c r="F11" i="28"/>
  <c r="H11" i="28" s="1"/>
  <c r="F8" i="28"/>
  <c r="H8" i="28" s="1"/>
  <c r="F7" i="28"/>
  <c r="H7" i="28" s="1"/>
  <c r="F6" i="28"/>
  <c r="H6" i="28" s="1"/>
  <c r="F5" i="28"/>
  <c r="H5" i="28" s="1"/>
  <c r="F4" i="28"/>
  <c r="H4" i="28" s="1"/>
  <c r="F3" i="28"/>
  <c r="H3" i="28" s="1"/>
  <c r="F16" i="26"/>
  <c r="H16" i="26" s="1"/>
  <c r="F15" i="26"/>
  <c r="H15" i="26" s="1"/>
  <c r="F14" i="26"/>
  <c r="H14" i="26" s="1"/>
  <c r="F13" i="26"/>
  <c r="H13" i="26" s="1"/>
  <c r="F12" i="26"/>
  <c r="H12" i="26" s="1"/>
  <c r="F11" i="26"/>
  <c r="H11" i="26" s="1"/>
  <c r="F8" i="26"/>
  <c r="H8" i="26" s="1"/>
  <c r="F7" i="26"/>
  <c r="H7" i="26" s="1"/>
  <c r="F6" i="26"/>
  <c r="H6" i="26" s="1"/>
  <c r="F5" i="26"/>
  <c r="H5" i="26" s="1"/>
  <c r="F4" i="26"/>
  <c r="H4" i="26" s="1"/>
  <c r="F3" i="26"/>
  <c r="H3" i="26" s="1"/>
  <c r="F16" i="25"/>
  <c r="H16" i="25" s="1"/>
  <c r="F15" i="25"/>
  <c r="H15" i="25" s="1"/>
  <c r="F14" i="25"/>
  <c r="H14" i="25" s="1"/>
  <c r="F13" i="25"/>
  <c r="H13" i="25" s="1"/>
  <c r="F12" i="25"/>
  <c r="H12" i="25" s="1"/>
  <c r="F11" i="25"/>
  <c r="H11" i="25" s="1"/>
  <c r="F8" i="25"/>
  <c r="H8" i="25" s="1"/>
  <c r="F7" i="25"/>
  <c r="H7" i="25" s="1"/>
  <c r="F6" i="25"/>
  <c r="H6" i="25" s="1"/>
  <c r="F5" i="25"/>
  <c r="H5" i="25" s="1"/>
  <c r="F4" i="25"/>
  <c r="H4" i="25" s="1"/>
  <c r="F3" i="25"/>
  <c r="H3" i="25" s="1"/>
  <c r="G19" i="24"/>
  <c r="G20" i="24"/>
  <c r="G21" i="24"/>
  <c r="G22" i="24"/>
  <c r="G23" i="24"/>
  <c r="G24" i="24"/>
  <c r="G16" i="24"/>
  <c r="H16" i="24" s="1"/>
  <c r="G15" i="24"/>
  <c r="H15" i="24" s="1"/>
  <c r="G14" i="24"/>
  <c r="H14" i="24" s="1"/>
  <c r="G13" i="24"/>
  <c r="H13" i="24" s="1"/>
  <c r="G12" i="24"/>
  <c r="H12" i="24" s="1"/>
  <c r="G11" i="24"/>
  <c r="H11" i="24" s="1"/>
  <c r="F8" i="24"/>
  <c r="H8" i="24" s="1"/>
  <c r="F7" i="24"/>
  <c r="H7" i="24" s="1"/>
  <c r="F6" i="24"/>
  <c r="H6" i="24" s="1"/>
  <c r="F5" i="24"/>
  <c r="H5" i="24" s="1"/>
  <c r="F4" i="24"/>
  <c r="H4" i="24" s="1"/>
  <c r="F3" i="24"/>
  <c r="H3" i="24" s="1"/>
  <c r="J5" i="2"/>
  <c r="J6" i="2"/>
  <c r="J7" i="2"/>
  <c r="J8" i="2"/>
  <c r="I44" i="23" l="1"/>
  <c r="I35" i="23"/>
  <c r="G21" i="43"/>
  <c r="G22" i="43"/>
  <c r="G24" i="43"/>
  <c r="G23" i="43"/>
  <c r="G19" i="43"/>
  <c r="G20" i="43"/>
  <c r="G20" i="42"/>
  <c r="G19" i="42"/>
  <c r="G22" i="42"/>
  <c r="G23" i="42"/>
  <c r="G21" i="42"/>
  <c r="G24" i="42"/>
  <c r="G19" i="40"/>
  <c r="G23" i="40"/>
  <c r="G24" i="40"/>
  <c r="G22" i="40"/>
  <c r="G20" i="40"/>
  <c r="G21" i="40"/>
  <c r="G21" i="39"/>
  <c r="G19" i="39"/>
  <c r="G20" i="39"/>
  <c r="G22" i="39"/>
  <c r="G23" i="39"/>
  <c r="G24" i="39"/>
  <c r="G19" i="38"/>
  <c r="G20" i="38"/>
  <c r="G21" i="38"/>
  <c r="G22" i="38"/>
  <c r="G23" i="38"/>
  <c r="G24" i="38"/>
  <c r="G32" i="37"/>
  <c r="G25" i="37"/>
  <c r="G31" i="37"/>
  <c r="G33" i="37"/>
  <c r="G26" i="37"/>
  <c r="G27" i="37"/>
  <c r="G28" i="37"/>
  <c r="G29" i="37"/>
  <c r="G35" i="37" s="1"/>
  <c r="G36" i="37" s="1"/>
  <c r="G30" i="37"/>
  <c r="G19" i="36"/>
  <c r="G22" i="36"/>
  <c r="G20" i="36"/>
  <c r="G23" i="36"/>
  <c r="G21" i="36"/>
  <c r="G24" i="36"/>
  <c r="G25" i="35"/>
  <c r="G31" i="35"/>
  <c r="G27" i="35"/>
  <c r="G29" i="35"/>
  <c r="G30" i="35"/>
  <c r="G26" i="35"/>
  <c r="G28" i="35"/>
  <c r="G32" i="35"/>
  <c r="G33" i="35"/>
  <c r="G22" i="33"/>
  <c r="G19" i="33"/>
  <c r="G20" i="33"/>
  <c r="G21" i="33"/>
  <c r="G23" i="33"/>
  <c r="G24" i="33"/>
  <c r="G30" i="32"/>
  <c r="G31" i="32"/>
  <c r="G32" i="32"/>
  <c r="G33" i="32"/>
  <c r="G25" i="32"/>
  <c r="G26" i="32"/>
  <c r="G27" i="32"/>
  <c r="G28" i="32"/>
  <c r="G34" i="32" s="1"/>
  <c r="G29" i="32"/>
  <c r="G19" i="31"/>
  <c r="G26" i="31" s="1"/>
  <c r="G27" i="31" s="1"/>
  <c r="G21" i="31"/>
  <c r="G20" i="31"/>
  <c r="G22" i="31"/>
  <c r="G23" i="31"/>
  <c r="G24" i="31"/>
  <c r="G24" i="30"/>
  <c r="G20" i="30"/>
  <c r="G21" i="30"/>
  <c r="G19" i="30"/>
  <c r="G26" i="30" s="1"/>
  <c r="G27" i="30" s="1"/>
  <c r="G22" i="30"/>
  <c r="G23" i="30"/>
  <c r="G22" i="29"/>
  <c r="G20" i="29"/>
  <c r="G21" i="29"/>
  <c r="G23" i="29"/>
  <c r="G24" i="29"/>
  <c r="G19" i="29"/>
  <c r="G20" i="28"/>
  <c r="G21" i="28"/>
  <c r="G22" i="28"/>
  <c r="G23" i="28"/>
  <c r="G19" i="28"/>
  <c r="G24" i="28"/>
  <c r="G26" i="43"/>
  <c r="G27" i="43" s="1"/>
  <c r="G25" i="43"/>
  <c r="G26" i="42"/>
  <c r="G27" i="42" s="1"/>
  <c r="G25" i="42"/>
  <c r="G26" i="40"/>
  <c r="G27" i="40" s="1"/>
  <c r="G26" i="39"/>
  <c r="G27" i="39" s="1"/>
  <c r="G25" i="39"/>
  <c r="G26" i="36"/>
  <c r="G27" i="36" s="1"/>
  <c r="G25" i="36"/>
  <c r="G26" i="29"/>
  <c r="G27" i="29" s="1"/>
  <c r="G25" i="29"/>
  <c r="G25" i="28"/>
  <c r="G26" i="28"/>
  <c r="G27" i="28" s="1"/>
  <c r="G26" i="41" l="1"/>
  <c r="G27" i="41" s="1"/>
  <c r="G25" i="41"/>
  <c r="G25" i="40"/>
  <c r="G26" i="38"/>
  <c r="G27" i="38" s="1"/>
  <c r="G25" i="38"/>
  <c r="G34" i="37"/>
  <c r="G34" i="35"/>
  <c r="G35" i="35"/>
  <c r="G36" i="35" s="1"/>
  <c r="G26" i="33"/>
  <c r="G27" i="33" s="1"/>
  <c r="G25" i="33"/>
  <c r="G35" i="32"/>
  <c r="G36" i="32" s="1"/>
  <c r="G25" i="31"/>
  <c r="G25" i="30"/>
  <c r="F27" i="23"/>
  <c r="G27" i="23" s="1"/>
  <c r="H27" i="23" s="1"/>
  <c r="I27" i="23" s="1"/>
  <c r="E27" i="23"/>
  <c r="D27" i="23"/>
  <c r="F22" i="23"/>
  <c r="G22" i="23"/>
  <c r="H22" i="23" s="1"/>
  <c r="I22" i="23" s="1"/>
  <c r="F23" i="23"/>
  <c r="G23" i="23"/>
  <c r="H23" i="23" s="1"/>
  <c r="I23" i="23" s="1"/>
  <c r="E23" i="23"/>
  <c r="E22" i="23"/>
  <c r="D23" i="23"/>
  <c r="D22" i="23"/>
  <c r="F16" i="23"/>
  <c r="G16" i="23" s="1"/>
  <c r="H16" i="23" s="1"/>
  <c r="I16" i="23" s="1"/>
  <c r="F17" i="23"/>
  <c r="G17" i="23" s="1"/>
  <c r="H17" i="23" s="1"/>
  <c r="I17" i="23" s="1"/>
  <c r="E17" i="23"/>
  <c r="E16" i="23"/>
  <c r="D17" i="23"/>
  <c r="D16" i="23"/>
  <c r="F8" i="23"/>
  <c r="G8" i="23" s="1"/>
  <c r="H8" i="23" s="1"/>
  <c r="I8" i="23" s="1"/>
  <c r="F9" i="23"/>
  <c r="G9" i="23"/>
  <c r="H9" i="23" s="1"/>
  <c r="I9" i="23" s="1"/>
  <c r="F10" i="23"/>
  <c r="G10" i="23" s="1"/>
  <c r="H10" i="23" s="1"/>
  <c r="I10" i="23" s="1"/>
  <c r="F11" i="23"/>
  <c r="G11" i="23"/>
  <c r="H11" i="23" s="1"/>
  <c r="I11" i="23" s="1"/>
  <c r="E11" i="23"/>
  <c r="E10" i="23"/>
  <c r="E9" i="23"/>
  <c r="E8" i="23"/>
  <c r="D11" i="23"/>
  <c r="D10" i="23"/>
  <c r="D9" i="23"/>
  <c r="D8" i="23"/>
  <c r="F6" i="23"/>
  <c r="G6" i="23"/>
  <c r="H6" i="23"/>
  <c r="I6" i="23" s="1"/>
  <c r="F7" i="23"/>
  <c r="G7" i="23" s="1"/>
  <c r="H7" i="23" s="1"/>
  <c r="I7" i="23" s="1"/>
  <c r="E7" i="23"/>
  <c r="E6" i="23"/>
  <c r="D7" i="23"/>
  <c r="D6" i="23"/>
  <c r="F4" i="23"/>
  <c r="G4" i="23" s="1"/>
  <c r="F5" i="23"/>
  <c r="G5" i="23" s="1"/>
  <c r="H5" i="23" s="1"/>
  <c r="I5" i="23" s="1"/>
  <c r="E5" i="23"/>
  <c r="E4" i="23"/>
  <c r="D5" i="23"/>
  <c r="D4" i="23"/>
  <c r="F24" i="22"/>
  <c r="G24" i="22" s="1"/>
  <c r="H24" i="22" s="1"/>
  <c r="I24" i="22" s="1"/>
  <c r="E24" i="22"/>
  <c r="D24" i="22"/>
  <c r="F22" i="22"/>
  <c r="G22" i="22" s="1"/>
  <c r="H22" i="22" s="1"/>
  <c r="I22" i="22" s="1"/>
  <c r="F23" i="22"/>
  <c r="G23" i="22"/>
  <c r="H23" i="22" s="1"/>
  <c r="I23" i="22" s="1"/>
  <c r="E23" i="22"/>
  <c r="E22" i="22"/>
  <c r="D23" i="22"/>
  <c r="D22" i="22"/>
  <c r="F16" i="22"/>
  <c r="G16" i="22"/>
  <c r="H16" i="22" s="1"/>
  <c r="I16" i="22" s="1"/>
  <c r="F17" i="22"/>
  <c r="G17" i="22" s="1"/>
  <c r="H17" i="22" s="1"/>
  <c r="I17" i="22" s="1"/>
  <c r="E17" i="22"/>
  <c r="E16" i="22"/>
  <c r="D17" i="22"/>
  <c r="D16" i="22"/>
  <c r="E8" i="22"/>
  <c r="F8" i="22" s="1"/>
  <c r="G8" i="22" s="1"/>
  <c r="H8" i="22" s="1"/>
  <c r="I8" i="22" s="1"/>
  <c r="E9" i="22"/>
  <c r="F9" i="22" s="1"/>
  <c r="G9" i="22" s="1"/>
  <c r="H9" i="22" s="1"/>
  <c r="I9" i="22" s="1"/>
  <c r="E10" i="22"/>
  <c r="F10" i="22" s="1"/>
  <c r="G10" i="22" s="1"/>
  <c r="H10" i="22" s="1"/>
  <c r="I10" i="22" s="1"/>
  <c r="E11" i="22"/>
  <c r="F11" i="22"/>
  <c r="G11" i="22"/>
  <c r="H11" i="22"/>
  <c r="I11" i="22"/>
  <c r="D8" i="22"/>
  <c r="D9" i="22"/>
  <c r="D10" i="22"/>
  <c r="D11" i="22"/>
  <c r="F4" i="22"/>
  <c r="G4" i="22" s="1"/>
  <c r="H4" i="22" s="1"/>
  <c r="I4" i="22" s="1"/>
  <c r="F5" i="22"/>
  <c r="G5" i="22" s="1"/>
  <c r="H5" i="22" s="1"/>
  <c r="I5" i="22" s="1"/>
  <c r="F6" i="22"/>
  <c r="G6" i="22" s="1"/>
  <c r="H6" i="22" s="1"/>
  <c r="I6" i="22" s="1"/>
  <c r="F7" i="22"/>
  <c r="G7" i="22" s="1"/>
  <c r="H7" i="22" s="1"/>
  <c r="I7" i="22" s="1"/>
  <c r="E6" i="22"/>
  <c r="E7" i="22"/>
  <c r="D6" i="22"/>
  <c r="D7" i="22"/>
  <c r="E5" i="22"/>
  <c r="E4" i="22"/>
  <c r="D5" i="22"/>
  <c r="D4" i="22"/>
  <c r="D27" i="20"/>
  <c r="D31" i="20" s="1"/>
  <c r="E26" i="20" s="1"/>
  <c r="D28" i="20"/>
  <c r="D29" i="20"/>
  <c r="D30" i="20"/>
  <c r="G80" i="23" l="1"/>
  <c r="H4" i="23"/>
  <c r="I4" i="23" s="1"/>
  <c r="E35" i="23" l="1"/>
  <c r="F35" i="23"/>
  <c r="G35" i="23"/>
  <c r="G24" i="26" l="1"/>
  <c r="G23" i="26"/>
  <c r="G22" i="26"/>
  <c r="G21" i="26"/>
  <c r="G20" i="26"/>
  <c r="G19" i="26"/>
  <c r="G24" i="25"/>
  <c r="G23" i="25"/>
  <c r="G22" i="25"/>
  <c r="G21" i="25"/>
  <c r="G20" i="25"/>
  <c r="G19" i="25"/>
  <c r="I80" i="23"/>
  <c r="I71" i="23"/>
  <c r="I72" i="23"/>
  <c r="I79" i="22"/>
  <c r="I62" i="22"/>
  <c r="I63" i="22"/>
  <c r="I71" i="22"/>
  <c r="I35" i="22"/>
  <c r="D44" i="23"/>
  <c r="O4" i="23" s="1"/>
  <c r="H80" i="23"/>
  <c r="F80" i="23"/>
  <c r="E80" i="23"/>
  <c r="D80" i="23"/>
  <c r="Q4" i="23" s="1"/>
  <c r="Q9" i="23" s="1"/>
  <c r="H72" i="23"/>
  <c r="G72" i="23"/>
  <c r="F72" i="23"/>
  <c r="E72" i="23"/>
  <c r="D72" i="23"/>
  <c r="H71" i="23"/>
  <c r="G71" i="23"/>
  <c r="F71" i="23"/>
  <c r="E71" i="23"/>
  <c r="D71" i="23"/>
  <c r="D56" i="23" s="1"/>
  <c r="P4" i="23" s="1"/>
  <c r="H44" i="23"/>
  <c r="G44" i="23"/>
  <c r="F44" i="23"/>
  <c r="E44" i="23"/>
  <c r="E79" i="22"/>
  <c r="R5" i="22" s="1"/>
  <c r="F79" i="22"/>
  <c r="R6" i="22" s="1"/>
  <c r="G79" i="22"/>
  <c r="R7" i="22" s="1"/>
  <c r="H79" i="22"/>
  <c r="R8" i="22" s="1"/>
  <c r="D79" i="22"/>
  <c r="R4" i="22" s="1"/>
  <c r="H35" i="22"/>
  <c r="G35" i="22"/>
  <c r="F35" i="22"/>
  <c r="E35" i="22"/>
  <c r="D30" i="2"/>
  <c r="E71" i="22"/>
  <c r="F71" i="22"/>
  <c r="G71" i="22"/>
  <c r="E63" i="22"/>
  <c r="F63" i="22"/>
  <c r="G63" i="22"/>
  <c r="E62" i="22"/>
  <c r="F62" i="22"/>
  <c r="G62" i="22"/>
  <c r="H71" i="22"/>
  <c r="H63" i="22"/>
  <c r="H62" i="22"/>
  <c r="D56" i="2"/>
  <c r="D63" i="2"/>
  <c r="O9" i="23" l="1"/>
  <c r="L8" i="2"/>
  <c r="L6" i="2"/>
  <c r="L4" i="2"/>
  <c r="L5" i="2"/>
  <c r="L7" i="2"/>
  <c r="G25" i="26"/>
  <c r="G26" i="26"/>
  <c r="G27" i="26" s="1"/>
  <c r="G26" i="25"/>
  <c r="G27" i="25" s="1"/>
  <c r="G25" i="25"/>
  <c r="G26" i="24"/>
  <c r="G27" i="24" s="1"/>
  <c r="G25" i="24"/>
  <c r="I56" i="23"/>
  <c r="I47" i="22"/>
  <c r="D62" i="22"/>
  <c r="D63" i="22"/>
  <c r="D71" i="22"/>
  <c r="Q4" i="22" s="1"/>
  <c r="F56" i="23"/>
  <c r="E56" i="23"/>
  <c r="G56" i="23"/>
  <c r="H56" i="23"/>
  <c r="F47" i="22"/>
  <c r="H47" i="22"/>
  <c r="G47" i="22"/>
  <c r="E47" i="22"/>
  <c r="P9" i="23" l="1"/>
  <c r="S6" i="22"/>
  <c r="E15" i="18" s="1"/>
  <c r="S5" i="22"/>
  <c r="E14" i="18" s="1"/>
  <c r="S7" i="22"/>
  <c r="E16" i="18" s="1"/>
  <c r="D4" i="20"/>
  <c r="R7" i="23"/>
  <c r="F16" i="18" s="1"/>
  <c r="R5" i="23"/>
  <c r="F14" i="18" s="1"/>
  <c r="R6" i="23"/>
  <c r="F15" i="18" s="1"/>
  <c r="R4" i="23"/>
  <c r="D47" i="22"/>
  <c r="P4" i="22" s="1"/>
  <c r="S4" i="22" s="1"/>
  <c r="O9" i="22"/>
  <c r="R8" i="23"/>
  <c r="F17" i="18" s="1"/>
  <c r="S8" i="22"/>
  <c r="E17" i="18" s="1"/>
  <c r="Q9" i="22"/>
  <c r="F13" i="18" l="1"/>
  <c r="F19" i="18" s="1"/>
  <c r="E27" i="20"/>
  <c r="G14" i="18" s="1"/>
  <c r="I14" i="18" s="1"/>
  <c r="E28" i="20"/>
  <c r="G15" i="18" s="1"/>
  <c r="I15" i="18" s="1"/>
  <c r="E29" i="20"/>
  <c r="G16" i="18" s="1"/>
  <c r="E30" i="20"/>
  <c r="G17" i="18" s="1"/>
  <c r="I17" i="18" s="1"/>
  <c r="R9" i="23"/>
  <c r="E13" i="18" l="1"/>
  <c r="E18" i="18" s="1"/>
  <c r="S9" i="22"/>
  <c r="P9" i="22"/>
  <c r="F18" i="18"/>
  <c r="G13" i="18"/>
  <c r="I13" i="18" s="1"/>
  <c r="E31" i="20"/>
  <c r="G19" i="18" l="1"/>
  <c r="G18" i="18"/>
  <c r="E19" i="18"/>
  <c r="D55" i="2"/>
  <c r="D41" i="2" s="1"/>
  <c r="K4" i="2" l="1"/>
  <c r="K8" i="2"/>
  <c r="K7" i="2"/>
  <c r="K6" i="2"/>
  <c r="K5" i="2"/>
  <c r="L9" i="2"/>
  <c r="M6" i="2" l="1"/>
  <c r="D15" i="18" s="1"/>
  <c r="M4" i="2"/>
  <c r="K9" i="2"/>
  <c r="M5" i="2"/>
  <c r="D14" i="18" s="1"/>
  <c r="M7" i="2"/>
  <c r="D16" i="18" s="1"/>
  <c r="M8" i="2"/>
  <c r="D17" i="18" s="1"/>
  <c r="D13" i="18" l="1"/>
  <c r="H13" i="18" s="1"/>
  <c r="H14" i="18"/>
  <c r="H16" i="18"/>
  <c r="J16" i="18" s="1"/>
  <c r="H15" i="18"/>
  <c r="J15" i="18" s="1"/>
  <c r="H17" i="18"/>
  <c r="J17" i="18" s="1"/>
  <c r="D19" i="18" l="1"/>
  <c r="J14" i="18"/>
  <c r="H19" i="18"/>
  <c r="J13" i="18"/>
  <c r="I19" i="18"/>
  <c r="J9" i="2"/>
  <c r="J19" i="18" l="1"/>
  <c r="H18" i="18"/>
  <c r="M9" i="2"/>
  <c r="J18" i="18" l="1"/>
  <c r="I18" i="18"/>
  <c r="D18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B9532ED5-25C1-4715-A1E4-FB3FCC60F3B5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7E560914-E328-4F35-BFF7-A90AEC3F408B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1F51D9DE-48A3-4BB5-8301-A5066F6FF82C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E74FA3AA-3269-4C37-98FA-56A0784143CA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A5E95DA9-80A4-4041-9107-C05D0BB5C0F0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3" authorId="0" shapeId="0" xr:uid="{8D264B5C-9F15-47EF-BB5D-BA355136AD9E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8E6F437B-0E39-4552-8B3F-C0ED05896C23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F08581C3-AD4D-410D-A262-19BEA3A1E9E0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7863678D-8E2B-45CA-A865-B66A20EEB0CD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3" authorId="0" shapeId="0" xr:uid="{F9D77DAA-2DBF-4BF7-B93B-A889BE244582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04EFE40C-5F72-4856-A6EF-014E193E158C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CFCF30B9-911B-47E2-9FAC-DA3361A71C25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C2D22ACF-EA39-4C69-BBF2-8F4BC72D073F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8A3B758C-AE79-4169-9DAD-E8B9A122DBC9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1BF0104A-7159-4350-9CC3-DECD987ABF87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1724EF46-5C98-4977-8DEF-908E0C2FAF6A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D46BFCD4-3814-4DAE-B7F6-E7BDED1DA752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FD0FAF64-2778-4C5B-B784-36DE80F92067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6DF1BB6F-1273-45CC-A3A1-70A779BAC013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60B818B1-9F3E-4CA8-9F2B-7FEACD789D5B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BA337A14-BB69-46CF-A589-AAF2528EAB05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171ED7F7-DFCE-4241-9A38-607CBF5C1DDE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B2ED1799-8B0D-4D03-B6EA-43F3CD14C1E8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E7BA2449-EB5F-42F7-BBA2-51357CE293AE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51EC452F-5027-43C2-9E94-4409F1EC1239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D7A53637-3CCB-4FB4-8A2E-032C3338E106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065B70AF-9437-4D13-965B-9FD5A5A75FED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8FADB227-5BFD-4060-B97B-2A19C030FBB9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7416E519-9D64-4CE5-BE32-E5893E3333A9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0BE2DC60-514C-4BF5-8255-029AF7460AA5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2284455D-447A-43EE-A2DB-8945AE57DFEA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25612894-A23F-4779-BF11-14A761E28F67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69744EE8-EA13-4E70-B807-A5A9788303F4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3" authorId="0" shapeId="0" xr:uid="{0A0E801B-4F62-40AF-B62C-4835D9C05A9E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林茂</author>
  </authors>
  <commentList>
    <comment ref="F2" authorId="0" shapeId="0" xr:uid="{B144BCE1-D943-4E7F-9794-FD8E7DF73863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  <comment ref="F10" authorId="0" shapeId="0" xr:uid="{A603E03D-6258-48C3-A0FF-F4D94DA7EAF6}">
      <text>
        <r>
          <rPr>
            <b/>
            <sz val="9"/>
            <color indexed="81"/>
            <rFont val="宋体"/>
            <family val="3"/>
            <charset val="134"/>
          </rPr>
          <t>林茂:</t>
        </r>
        <r>
          <rPr>
            <sz val="9"/>
            <color indexed="81"/>
            <rFont val="宋体"/>
            <family val="3"/>
            <charset val="134"/>
          </rPr>
          <t xml:space="preserve">
According to the nationally-approved standard Method for Determination of Soil Organic Matter (NY/T 1121.6-2006), Soil Organic Carbon (SOC) is equal to Soil Organic Matter (SOM) divided by 1.724.</t>
        </r>
      </text>
    </comment>
  </commentList>
</comments>
</file>

<file path=xl/sharedStrings.xml><?xml version="1.0" encoding="utf-8"?>
<sst xmlns="http://schemas.openxmlformats.org/spreadsheetml/2006/main" count="1562" uniqueCount="685">
  <si>
    <t>Parameter</t>
    <phoneticPr fontId="3" type="noConversion"/>
  </si>
  <si>
    <t>Value</t>
    <phoneticPr fontId="3" type="noConversion"/>
  </si>
  <si>
    <t>Unit</t>
    <phoneticPr fontId="3" type="noConversion"/>
  </si>
  <si>
    <t>Sources</t>
    <phoneticPr fontId="3" type="noConversion"/>
  </si>
  <si>
    <t>head</t>
  </si>
  <si>
    <t>days</t>
  </si>
  <si>
    <t>t CO2e/t N2O</t>
    <phoneticPr fontId="2" type="noConversion"/>
  </si>
  <si>
    <t>hour</t>
  </si>
  <si>
    <t>kg N deposited /(t livestock mass*day)</t>
  </si>
  <si>
    <t>kg livestock mass/head</t>
  </si>
  <si>
    <t>kg N volatilized/kg of N deposited</t>
  </si>
  <si>
    <t>t N2O</t>
  </si>
  <si>
    <t>kg N2O-N/(kg NH3-N + NOx-N volatilized)</t>
  </si>
  <si>
    <t>kg fuel/year</t>
  </si>
  <si>
    <t>GJ/t fuel</t>
  </si>
  <si>
    <t>Strata</t>
    <phoneticPr fontId="2" type="noConversion"/>
  </si>
  <si>
    <t>Total</t>
    <phoneticPr fontId="2" type="noConversion"/>
  </si>
  <si>
    <t>Year</t>
    <phoneticPr fontId="2" type="noConversion"/>
  </si>
  <si>
    <r>
      <t>t 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e</t>
    </r>
  </si>
  <si>
    <r>
      <t>GWP</t>
    </r>
    <r>
      <rPr>
        <i/>
        <vertAlign val="subscript"/>
        <sz val="10"/>
        <color theme="1"/>
        <rFont val="Arial"/>
        <family val="2"/>
      </rPr>
      <t>CH4</t>
    </r>
    <phoneticPr fontId="2" type="noConversion"/>
  </si>
  <si>
    <r>
      <t>t 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e/t CH</t>
    </r>
    <r>
      <rPr>
        <vertAlign val="subscript"/>
        <sz val="10"/>
        <color rgb="FF000000"/>
        <rFont val="Arial"/>
        <family val="2"/>
      </rPr>
      <t>4</t>
    </r>
  </si>
  <si>
    <r>
      <t>kg CH</t>
    </r>
    <r>
      <rPr>
        <vertAlign val="sub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 xml:space="preserve"> head*year</t>
    </r>
  </si>
  <si>
    <r>
      <t>EF</t>
    </r>
    <r>
      <rPr>
        <i/>
        <vertAlign val="subscript"/>
        <sz val="10"/>
        <color theme="1"/>
        <rFont val="Arial"/>
        <family val="2"/>
      </rPr>
      <t>3,PRP,CPP</t>
    </r>
    <phoneticPr fontId="2" type="noConversion"/>
  </si>
  <si>
    <r>
      <t>kg N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O-N/kg N input</t>
    </r>
  </si>
  <si>
    <r>
      <t>EF</t>
    </r>
    <r>
      <rPr>
        <i/>
        <vertAlign val="subscript"/>
        <sz val="10"/>
        <color theme="1"/>
        <rFont val="Arial"/>
        <family val="2"/>
      </rPr>
      <t>3,PRP,SO</t>
    </r>
    <phoneticPr fontId="2" type="noConversion"/>
  </si>
  <si>
    <r>
      <t>Frac</t>
    </r>
    <r>
      <rPr>
        <i/>
        <vertAlign val="subscript"/>
        <sz val="10"/>
        <color theme="1"/>
        <rFont val="Arial"/>
        <family val="2"/>
      </rPr>
      <t>GAS,MD</t>
    </r>
    <phoneticPr fontId="2" type="noConversion"/>
  </si>
  <si>
    <r>
      <t>EF</t>
    </r>
    <r>
      <rPr>
        <i/>
        <vertAlign val="subscript"/>
        <sz val="10"/>
        <color theme="1"/>
        <rFont val="Arial"/>
        <family val="2"/>
      </rPr>
      <t>4,MD</t>
    </r>
    <phoneticPr fontId="2" type="noConversion"/>
  </si>
  <si>
    <r>
      <t>GWP</t>
    </r>
    <r>
      <rPr>
        <i/>
        <vertAlign val="subscript"/>
        <sz val="10"/>
        <color theme="1"/>
        <rFont val="Arial"/>
        <family val="2"/>
      </rPr>
      <t>N2O</t>
    </r>
    <phoneticPr fontId="2" type="noConversion"/>
  </si>
  <si>
    <r>
      <t>kg CH</t>
    </r>
    <r>
      <rPr>
        <vertAlign val="subscript"/>
        <sz val="10"/>
        <color rgb="FF3B3531"/>
        <rFont val="Arial"/>
        <family val="2"/>
      </rPr>
      <t>4</t>
    </r>
    <r>
      <rPr>
        <sz val="10"/>
        <color rgb="FF3B3531"/>
        <rFont val="Arial"/>
        <family val="2"/>
      </rPr>
      <t>/(head * year)</t>
    </r>
  </si>
  <si>
    <r>
      <t>FC</t>
    </r>
    <r>
      <rPr>
        <i/>
        <vertAlign val="subscript"/>
        <sz val="10"/>
        <color theme="1"/>
        <rFont val="Arial"/>
        <family val="2"/>
      </rPr>
      <t>p,j,Diesel oil,t</t>
    </r>
    <phoneticPr fontId="2" type="noConversion"/>
  </si>
  <si>
    <r>
      <t>EF</t>
    </r>
    <r>
      <rPr>
        <i/>
        <vertAlign val="subscript"/>
        <sz val="10"/>
        <color theme="1"/>
        <rFont val="Arial"/>
        <family val="2"/>
      </rPr>
      <t>CO2Diesel oil</t>
    </r>
    <phoneticPr fontId="2" type="noConversion"/>
  </si>
  <si>
    <r>
      <t>t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e/GJ</t>
    </r>
    <phoneticPr fontId="2" type="noConversion"/>
  </si>
  <si>
    <r>
      <t>NCV</t>
    </r>
    <r>
      <rPr>
        <i/>
        <vertAlign val="subscript"/>
        <sz val="10"/>
        <color theme="1"/>
        <rFont val="Arial"/>
        <family val="2"/>
      </rPr>
      <t>Diesel oil</t>
    </r>
    <phoneticPr fontId="2" type="noConversion"/>
  </si>
  <si>
    <t>NO.</t>
    <phoneticPr fontId="2" type="noConversion"/>
  </si>
  <si>
    <t>SOM(g/kg)</t>
    <phoneticPr fontId="2" type="noConversion"/>
  </si>
  <si>
    <t>Strata 2</t>
  </si>
  <si>
    <t>Strata 3</t>
  </si>
  <si>
    <t>Sample site</t>
    <phoneticPr fontId="2" type="noConversion"/>
  </si>
  <si>
    <t>sandy loam</t>
  </si>
  <si>
    <t>Grazing Displacement Management Plan</t>
  </si>
  <si>
    <t>Calculated</t>
  </si>
  <si>
    <t>Project ID</t>
    <phoneticPr fontId="2" type="noConversion"/>
  </si>
  <si>
    <t>Annual average</t>
    <phoneticPr fontId="2" type="noConversion"/>
  </si>
  <si>
    <t>Cattle</t>
    <phoneticPr fontId="2" type="noConversion"/>
  </si>
  <si>
    <t>Sheep</t>
    <phoneticPr fontId="2" type="noConversion"/>
  </si>
  <si>
    <r>
      <t>P</t>
    </r>
    <r>
      <rPr>
        <i/>
        <vertAlign val="subscript"/>
        <sz val="10"/>
        <color theme="1"/>
        <rFont val="Arial"/>
        <family val="2"/>
      </rPr>
      <t>l,b</t>
    </r>
    <phoneticPr fontId="2" type="noConversion"/>
  </si>
  <si>
    <r>
      <t>EF</t>
    </r>
    <r>
      <rPr>
        <i/>
        <vertAlign val="subscript"/>
        <sz val="10"/>
        <color theme="1"/>
        <rFont val="Arial"/>
        <family val="2"/>
      </rPr>
      <t>l</t>
    </r>
    <phoneticPr fontId="2" type="noConversion"/>
  </si>
  <si>
    <r>
      <t>Days</t>
    </r>
    <r>
      <rPr>
        <i/>
        <vertAlign val="subscript"/>
        <sz val="10"/>
        <color theme="1"/>
        <rFont val="Arial"/>
        <family val="2"/>
      </rPr>
      <t>l,b</t>
    </r>
    <phoneticPr fontId="2" type="noConversion"/>
  </si>
  <si>
    <r>
      <t>1. Baseline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due to enteric fermentation</t>
    </r>
    <phoneticPr fontId="2" type="noConversion"/>
  </si>
  <si>
    <t>2. Baseline N2O and CH4 emissions due to manure management</t>
    <phoneticPr fontId="2" type="noConversion"/>
  </si>
  <si>
    <t xml:space="preserve"> </t>
  </si>
  <si>
    <r>
      <t>W</t>
    </r>
    <r>
      <rPr>
        <i/>
        <vertAlign val="subscript"/>
        <sz val="10"/>
        <color theme="1"/>
        <rFont val="Arial"/>
        <family val="2"/>
      </rPr>
      <t>l,b</t>
    </r>
    <phoneticPr fontId="2" type="noConversion"/>
  </si>
  <si>
    <r>
      <t>Nex</t>
    </r>
    <r>
      <rPr>
        <i/>
        <vertAlign val="subscript"/>
        <sz val="10"/>
        <color theme="1"/>
        <rFont val="Arial"/>
        <family val="2"/>
      </rPr>
      <t>l</t>
    </r>
    <phoneticPr fontId="2" type="noConversion"/>
  </si>
  <si>
    <r>
      <t>H</t>
    </r>
    <r>
      <rPr>
        <i/>
        <vertAlign val="subscript"/>
        <sz val="10"/>
        <color theme="1"/>
        <rFont val="Arial"/>
        <family val="2"/>
      </rPr>
      <t>l,b</t>
    </r>
    <phoneticPr fontId="2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</si>
  <si>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D,N2OMD,b</t>
    </r>
    <phoneticPr fontId="2" type="noConversion"/>
  </si>
  <si>
    <t>PRA report</t>
    <phoneticPr fontId="2" type="noConversion"/>
  </si>
  <si>
    <r>
      <t>2.1  Baseline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management</t>
    </r>
    <phoneticPr fontId="2" type="noConversion"/>
  </si>
  <si>
    <r>
      <t>2.1.1 Baseline direct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and urine deposited on grassland soil</t>
    </r>
    <phoneticPr fontId="2" type="noConversion"/>
  </si>
  <si>
    <r>
      <t>2.1.2 Baseline indirect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urine and manure N deposited on grassland soils</t>
    </r>
    <phoneticPr fontId="2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</si>
  <si>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ID,N2OMD,b</t>
    </r>
    <phoneticPr fontId="2" type="noConversion"/>
  </si>
  <si>
    <r>
      <t>2.2 Baseline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from manure management</t>
    </r>
    <phoneticPr fontId="2" type="noConversion"/>
  </si>
  <si>
    <r>
      <t>EF</t>
    </r>
    <r>
      <rPr>
        <i/>
        <vertAlign val="subscript"/>
        <sz val="10"/>
        <color theme="1"/>
        <rFont val="Arial"/>
        <family val="2"/>
      </rPr>
      <t>l,m</t>
    </r>
    <phoneticPr fontId="2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</si>
  <si>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CH4MD,b</t>
    </r>
    <phoneticPr fontId="2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</si>
  <si>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CH4EF,b</t>
    </r>
    <phoneticPr fontId="2" type="noConversion"/>
  </si>
  <si>
    <r>
      <t>t CO</t>
    </r>
    <r>
      <rPr>
        <b/>
        <vertAlign val="subscript"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e</t>
    </r>
  </si>
  <si>
    <r>
      <t>BE</t>
    </r>
    <r>
      <rPr>
        <b/>
        <i/>
        <vertAlign val="subscript"/>
        <sz val="10"/>
        <color theme="1"/>
        <rFont val="Arial"/>
        <family val="2"/>
      </rPr>
      <t>N2OMD,b</t>
    </r>
    <phoneticPr fontId="2" type="noConversion"/>
  </si>
  <si>
    <t>Calculated</t>
    <phoneticPr fontId="2" type="noConversion"/>
  </si>
  <si>
    <r>
      <t>1. Project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due to enteric fermentation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</si>
  <si>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CH4EF,t</t>
    </r>
    <phoneticPr fontId="2" type="noConversion"/>
  </si>
  <si>
    <r>
      <t>2.1 Project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management</t>
    </r>
    <phoneticPr fontId="2" type="noConversion"/>
  </si>
  <si>
    <r>
      <t>2. Project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and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due to manure management</t>
    </r>
    <phoneticPr fontId="2" type="noConversion"/>
  </si>
  <si>
    <r>
      <t>3. Project 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emissions due to the use of fossil fuels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</si>
  <si>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N2OMD,t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</si>
  <si>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D,N2OMD,t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</si>
  <si>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ID,N2OMD,t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</si>
  <si>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CH4MD,b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</si>
  <si>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FC,t</t>
    </r>
    <phoneticPr fontId="2" type="noConversion"/>
  </si>
  <si>
    <t>1. Methane emissions from enteric fermentation by livestock displaced to unidentified grasslands</t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</si>
  <si>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GUI,CH4EF,t</t>
    </r>
    <phoneticPr fontId="2" type="noConversion"/>
  </si>
  <si>
    <r>
      <t>P</t>
    </r>
    <r>
      <rPr>
        <i/>
        <vertAlign val="subscript"/>
        <sz val="10"/>
        <color theme="1"/>
        <rFont val="Arial"/>
        <family val="2"/>
      </rPr>
      <t>GUI,l,t</t>
    </r>
    <phoneticPr fontId="2" type="noConversion"/>
  </si>
  <si>
    <r>
      <t>P</t>
    </r>
    <r>
      <rPr>
        <i/>
        <vertAlign val="subscript"/>
        <sz val="10"/>
        <color theme="1"/>
        <rFont val="Arial"/>
        <family val="2"/>
      </rPr>
      <t>l,t</t>
    </r>
    <phoneticPr fontId="2" type="noConversion"/>
  </si>
  <si>
    <r>
      <t>W</t>
    </r>
    <r>
      <rPr>
        <i/>
        <vertAlign val="subscript"/>
        <sz val="10"/>
        <color theme="1"/>
        <rFont val="Arial"/>
        <family val="2"/>
      </rPr>
      <t>l,t</t>
    </r>
    <phoneticPr fontId="2" type="noConversion"/>
  </si>
  <si>
    <r>
      <t>H</t>
    </r>
    <r>
      <rPr>
        <i/>
        <vertAlign val="subscript"/>
        <sz val="10"/>
        <color theme="1"/>
        <rFont val="Arial"/>
        <family val="2"/>
      </rPr>
      <t>l,t</t>
    </r>
    <phoneticPr fontId="2" type="noConversion"/>
  </si>
  <si>
    <r>
      <t>Days</t>
    </r>
    <r>
      <rPr>
        <i/>
        <vertAlign val="subscript"/>
        <sz val="10"/>
        <color theme="1"/>
        <rFont val="Arial"/>
        <family val="2"/>
      </rPr>
      <t>l,t</t>
    </r>
    <phoneticPr fontId="2" type="noConversion"/>
  </si>
  <si>
    <t>2. GHG emissions from manure management</t>
    <phoneticPr fontId="2" type="noConversion"/>
  </si>
  <si>
    <r>
      <t>2.1 Leakage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and urine deposited on unidentified grasslands</t>
    </r>
    <phoneticPr fontId="2" type="noConversion"/>
  </si>
  <si>
    <r>
      <t>2.1.1 Leakage direct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manure and urine deposited on unidentified grasslands</t>
    </r>
    <phoneticPr fontId="2" type="noConversion"/>
  </si>
  <si>
    <r>
      <t>2.1.2 Leakage indirect N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 emissions from urine and manure N deposited on grassland soils</t>
    </r>
    <phoneticPr fontId="2" type="noConversion"/>
  </si>
  <si>
    <r>
      <t>2.2 Leakage CH</t>
    </r>
    <r>
      <rPr>
        <b/>
        <vertAlign val="sub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emissions from manure management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</si>
  <si>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GUI ID,N2OMD,t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</si>
  <si>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GUID,N2OMD,t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</si>
  <si>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GUI,CH4MD,b</t>
    </r>
    <phoneticPr fontId="2" type="noConversion"/>
  </si>
  <si>
    <t>2022 onward</t>
    <phoneticPr fontId="2" type="noConversion"/>
  </si>
  <si>
    <r>
      <t>FC</t>
    </r>
    <r>
      <rPr>
        <b/>
        <vertAlign val="subscript"/>
        <sz val="10"/>
        <rFont val="Arial"/>
        <family val="2"/>
      </rPr>
      <t>1,1,i,2016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</si>
  <si>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1,1,i,2016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</si>
  <si>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1,1,i,2016</t>
    </r>
    <r>
      <rPr>
        <b/>
        <sz val="10"/>
        <rFont val="Arial"/>
        <family val="2"/>
      </rPr>
      <t xml:space="preserve"> (g/kg)</t>
    </r>
    <phoneticPr fontId="2" type="noConversion"/>
  </si>
  <si>
    <t>Depth(cm)</t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</si>
  <si>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1,baseline </t>
    </r>
    <r>
      <rPr>
        <b/>
        <sz val="10"/>
        <rFont val="Arial"/>
        <family val="2"/>
      </rPr>
      <t>(tC/ha)</t>
    </r>
    <phoneticPr fontId="2" type="noConversion"/>
  </si>
  <si>
    <t>Data source</t>
    <phoneticPr fontId="2" type="noConversion"/>
  </si>
  <si>
    <t>Soil sampling test report</t>
    <phoneticPr fontId="2" type="noConversion"/>
  </si>
  <si>
    <t>Date</t>
    <phoneticPr fontId="2" type="noConversion"/>
  </si>
  <si>
    <t>Version</t>
    <phoneticPr fontId="2" type="noConversion"/>
  </si>
  <si>
    <t>Pronect name</t>
    <phoneticPr fontId="2" type="noConversion"/>
  </si>
  <si>
    <t>VM0026</t>
    <phoneticPr fontId="2" type="noConversion"/>
  </si>
  <si>
    <t>Methodology</t>
    <phoneticPr fontId="2" type="noConversion"/>
  </si>
  <si>
    <t>Project location</t>
    <phoneticPr fontId="2" type="noConversion"/>
  </si>
  <si>
    <t>Projeca area</t>
    <phoneticPr fontId="2" type="noConversion"/>
  </si>
  <si>
    <r>
      <t>BE</t>
    </r>
    <r>
      <rPr>
        <b/>
        <i/>
        <vertAlign val="subscript"/>
        <sz val="10"/>
        <color theme="1"/>
        <rFont val="Arial"/>
        <family val="2"/>
      </rPr>
      <t>b</t>
    </r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</si>
  <si>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t</t>
    </r>
    <phoneticPr fontId="2" type="noConversion"/>
  </si>
  <si>
    <r>
      <t>ER</t>
    </r>
    <r>
      <rPr>
        <b/>
        <i/>
        <vertAlign val="subscript"/>
        <sz val="10"/>
        <color theme="1"/>
        <rFont val="Arial"/>
        <family val="2"/>
      </rPr>
      <t>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</si>
  <si>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t</t>
    </r>
    <phoneticPr fontId="2" type="noConversion"/>
  </si>
  <si>
    <t>Buffer</t>
    <phoneticPr fontId="2" type="noConversion"/>
  </si>
  <si>
    <t>Net VCUs</t>
    <phoneticPr fontId="2" type="noConversion"/>
  </si>
  <si>
    <t>Estimate the area of grassland needed to sustain the population of livestock relocated to unidentified grasslands</t>
  </si>
  <si>
    <t>kg dm/(head*day)</t>
  </si>
  <si>
    <r>
      <t>ANPP</t>
    </r>
    <r>
      <rPr>
        <i/>
        <vertAlign val="subscript"/>
        <sz val="10"/>
        <color theme="1"/>
        <rFont val="Arial"/>
        <family val="2"/>
      </rPr>
      <t>GUI,REF</t>
    </r>
    <phoneticPr fontId="2" type="noConversion"/>
  </si>
  <si>
    <t>t dm/ha</t>
  </si>
  <si>
    <r>
      <t>DMI</t>
    </r>
    <r>
      <rPr>
        <i/>
        <vertAlign val="subscript"/>
        <sz val="10"/>
        <color theme="1"/>
        <rFont val="Arial"/>
        <family val="2"/>
      </rPr>
      <t>day,l</t>
    </r>
    <phoneticPr fontId="2" type="noConversion"/>
  </si>
  <si>
    <r>
      <t>Area</t>
    </r>
    <r>
      <rPr>
        <b/>
        <i/>
        <vertAlign val="subscript"/>
        <sz val="10"/>
        <color theme="1"/>
        <rFont val="Arial"/>
        <family val="2"/>
      </rPr>
      <t>GUI,t</t>
    </r>
    <phoneticPr fontId="2" type="noConversion"/>
  </si>
  <si>
    <t>ha</t>
    <phoneticPr fontId="2" type="noConversion"/>
  </si>
  <si>
    <t>National standards</t>
  </si>
  <si>
    <t>Peer-review studys</t>
    <phoneticPr fontId="2" type="noConversion"/>
  </si>
  <si>
    <t>Monitoring period</t>
    <phoneticPr fontId="2" type="noConversion"/>
  </si>
  <si>
    <t>From</t>
    <phoneticPr fontId="2" type="noConversion"/>
  </si>
  <si>
    <t>To</t>
    <phoneticPr fontId="2" type="noConversion"/>
  </si>
  <si>
    <t>Year</t>
    <phoneticPr fontId="2" type="noConversion"/>
  </si>
  <si>
    <r>
      <t>PE</t>
    </r>
    <r>
      <rPr>
        <b/>
        <i/>
        <vertAlign val="subscript"/>
        <sz val="10"/>
        <color theme="1"/>
        <rFont val="Arial"/>
        <family val="2"/>
      </rPr>
      <t>CH4MD,t</t>
    </r>
    <phoneticPr fontId="2" type="noConversion"/>
  </si>
  <si>
    <r>
      <t>PR</t>
    </r>
    <r>
      <rPr>
        <b/>
        <i/>
        <vertAlign val="subscript"/>
        <sz val="10"/>
        <color theme="1"/>
        <rFont val="Arial"/>
        <family val="2"/>
      </rPr>
      <t>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</si>
  <si>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CH4EF,t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</si>
  <si>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N2OMD,t</t>
    </r>
    <phoneticPr fontId="2" type="noConversion"/>
  </si>
  <si>
    <r>
      <t>LE</t>
    </r>
    <r>
      <rPr>
        <b/>
        <i/>
        <vertAlign val="subscript"/>
        <sz val="10"/>
        <color theme="1"/>
        <rFont val="Arial"/>
        <family val="2"/>
      </rPr>
      <t>CH4MD,t</t>
    </r>
    <phoneticPr fontId="2" type="noConversion"/>
  </si>
  <si>
    <r>
      <t>P</t>
    </r>
    <r>
      <rPr>
        <b/>
        <vertAlign val="subscript"/>
        <sz val="10"/>
        <color theme="1"/>
        <rFont val="Arial"/>
        <family val="2"/>
      </rPr>
      <t xml:space="preserve">t </t>
    </r>
    <r>
      <rPr>
        <b/>
        <sz val="10"/>
        <color theme="1"/>
        <rFont val="Arial"/>
        <family val="2"/>
      </rPr>
      <t>(tC/ha)</t>
    </r>
  </si>
  <si>
    <t>Conserative value</t>
    <phoneticPr fontId="2" type="noConversion"/>
  </si>
  <si>
    <t>Mean</t>
    <phoneticPr fontId="2" type="noConversion"/>
  </si>
  <si>
    <t>SE</t>
    <phoneticPr fontId="2" type="noConversion"/>
  </si>
  <si>
    <t>Strata 1</t>
  </si>
  <si>
    <r>
      <t>PR</t>
    </r>
    <r>
      <rPr>
        <b/>
        <vertAlign val="subscript"/>
        <sz val="10"/>
        <color theme="1"/>
        <rFont val="Arial"/>
        <family val="2"/>
      </rPr>
      <t>t</t>
    </r>
    <phoneticPr fontId="2" type="noConversion"/>
  </si>
  <si>
    <r>
      <t>FC</t>
    </r>
    <r>
      <rPr>
        <b/>
        <vertAlign val="subscript"/>
        <sz val="10"/>
        <rFont val="Arial"/>
        <family val="2"/>
      </rPr>
      <t>1,1,i,2021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</si>
  <si>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1,1,i,2021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</si>
  <si>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1,1,i,2021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</si>
  <si>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1,1,i,2021</t>
    </r>
    <r>
      <rPr>
        <b/>
        <sz val="10"/>
        <rFont val="Arial"/>
        <family val="2"/>
      </rPr>
      <t>(tC/ha)</t>
    </r>
    <phoneticPr fontId="2" type="noConversion"/>
  </si>
  <si>
    <t>longitude</t>
  </si>
  <si>
    <t>latitude</t>
  </si>
  <si>
    <t>soil texture</t>
  </si>
  <si>
    <r>
      <t>P</t>
    </r>
    <r>
      <rPr>
        <b/>
        <vertAlign val="subscript"/>
        <sz val="10"/>
        <color theme="1"/>
        <rFont val="Arial"/>
        <family val="2"/>
      </rPr>
      <t>t</t>
    </r>
    <r>
      <rPr>
        <b/>
        <sz val="10"/>
        <color theme="1"/>
        <rFont val="Arial"/>
        <family val="2"/>
      </rPr>
      <t>(tC/ha)</t>
    </r>
    <phoneticPr fontId="2" type="noConversion"/>
  </si>
  <si>
    <t>S1-1</t>
    <phoneticPr fontId="2" type="noConversion"/>
  </si>
  <si>
    <t>S1-2</t>
  </si>
  <si>
    <t>S1-3</t>
  </si>
  <si>
    <t>S1-4</t>
  </si>
  <si>
    <t>S1-5</t>
  </si>
  <si>
    <t>S1-6</t>
  </si>
  <si>
    <t xml:space="preserve">Mean </t>
    <phoneticPr fontId="2" type="noConversion"/>
  </si>
  <si>
    <t>SD</t>
    <phoneticPr fontId="2" type="noConversion"/>
  </si>
  <si>
    <t>Duration</t>
    <phoneticPr fontId="2" type="noConversion"/>
  </si>
  <si>
    <t>days</t>
    <phoneticPr fontId="2" type="noConversion"/>
  </si>
  <si>
    <t>Project grazing records</t>
    <phoneticPr fontId="2" type="noConversion"/>
  </si>
  <si>
    <t>Diesel statistics</t>
    <phoneticPr fontId="2" type="noConversion"/>
  </si>
  <si>
    <r>
      <t>H</t>
    </r>
    <r>
      <rPr>
        <i/>
        <vertAlign val="subscript"/>
        <sz val="10"/>
        <color theme="1"/>
        <rFont val="Arial"/>
        <family val="2"/>
      </rPr>
      <t>GUI,l,t</t>
    </r>
    <phoneticPr fontId="2" type="noConversion"/>
  </si>
  <si>
    <r>
      <t>Days</t>
    </r>
    <r>
      <rPr>
        <i/>
        <vertAlign val="subscript"/>
        <sz val="10"/>
        <color theme="1"/>
        <rFont val="Arial"/>
        <family val="2"/>
      </rPr>
      <t>GUI,l,t</t>
    </r>
    <phoneticPr fontId="2" type="noConversion"/>
  </si>
  <si>
    <t xml:space="preserve">Zhangye Improved Grassland Management Project </t>
    <phoneticPr fontId="2" type="noConversion"/>
  </si>
  <si>
    <t>VCS2748</t>
    <phoneticPr fontId="2" type="noConversion"/>
  </si>
  <si>
    <t>25-July-2022 to 31-December 2021</t>
    <phoneticPr fontId="2" type="noConversion"/>
  </si>
  <si>
    <t>Zhangye City, Gansu Province, China</t>
    <phoneticPr fontId="2" type="noConversion"/>
  </si>
  <si>
    <t>261,059.80 ha</t>
    <phoneticPr fontId="2" type="noConversion"/>
  </si>
  <si>
    <t>GTB-19</t>
  </si>
  <si>
    <t>GTB-21</t>
  </si>
  <si>
    <t>GTB-22</t>
  </si>
  <si>
    <t>GTB-23</t>
  </si>
  <si>
    <t>GTB-24</t>
  </si>
  <si>
    <t>GTB-25</t>
  </si>
  <si>
    <t>GTP-19</t>
  </si>
  <si>
    <t>GTP-21</t>
  </si>
  <si>
    <t>GTP-22</t>
  </si>
  <si>
    <t>GTP-23</t>
  </si>
  <si>
    <t>GTP-24</t>
  </si>
  <si>
    <t>GTP-25</t>
  </si>
  <si>
    <t>S1-1</t>
  </si>
  <si>
    <t>GT-19</t>
    <phoneticPr fontId="2" type="noConversion"/>
  </si>
  <si>
    <t xml:space="preserve">sandy </t>
    <phoneticPr fontId="2" type="noConversion"/>
  </si>
  <si>
    <t>GT-21</t>
    <phoneticPr fontId="2" type="noConversion"/>
  </si>
  <si>
    <t>GT-22</t>
    <phoneticPr fontId="2" type="noConversion"/>
  </si>
  <si>
    <t>GT-23</t>
    <phoneticPr fontId="2" type="noConversion"/>
  </si>
  <si>
    <t>GT-24</t>
    <phoneticPr fontId="2" type="noConversion"/>
  </si>
  <si>
    <t>GT-25</t>
    <phoneticPr fontId="2" type="noConversion"/>
  </si>
  <si>
    <t>GTB-11</t>
  </si>
  <si>
    <t>GTB-12</t>
  </si>
  <si>
    <t>GTB-15</t>
  </si>
  <si>
    <t>GZB-01</t>
  </si>
  <si>
    <t>GZB-02</t>
  </si>
  <si>
    <t>GZB-03</t>
  </si>
  <si>
    <t>GTP-11</t>
  </si>
  <si>
    <t>GTP-12</t>
  </si>
  <si>
    <t>GTP-15</t>
  </si>
  <si>
    <t>GZP-01</t>
  </si>
  <si>
    <t>GZP-02</t>
  </si>
  <si>
    <t>GZP-03</t>
  </si>
  <si>
    <t>GT-11</t>
  </si>
  <si>
    <t>GT-12</t>
  </si>
  <si>
    <t>GT-15</t>
  </si>
  <si>
    <t>GZ-01</t>
  </si>
  <si>
    <t>GZ-02</t>
  </si>
  <si>
    <t>GZ-03</t>
  </si>
  <si>
    <r>
      <t>SOC</t>
    </r>
    <r>
      <rPr>
        <b/>
        <vertAlign val="subscript"/>
        <sz val="10"/>
        <rFont val="Arial"/>
        <family val="2"/>
      </rPr>
      <t xml:space="preserve">2,baseline </t>
    </r>
    <r>
      <rPr>
        <b/>
        <sz val="10"/>
        <rFont val="Arial"/>
        <family val="2"/>
      </rPr>
      <t>(tC/ha)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</si>
  <si>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1,2,i,2021</t>
    </r>
    <r>
      <rPr>
        <b/>
        <sz val="10"/>
        <rFont val="Arial"/>
        <family val="2"/>
      </rPr>
      <t>(tC/ha)</t>
    </r>
    <phoneticPr fontId="2" type="noConversion"/>
  </si>
  <si>
    <r>
      <t>FC</t>
    </r>
    <r>
      <rPr>
        <b/>
        <vertAlign val="subscript"/>
        <sz val="10"/>
        <rFont val="Arial"/>
        <family val="2"/>
      </rPr>
      <t>1,2,i,2021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</si>
  <si>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1,2,i,2021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</si>
  <si>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1,2,i,2021</t>
    </r>
    <r>
      <rPr>
        <b/>
        <sz val="10"/>
        <rFont val="Arial"/>
        <family val="2"/>
      </rPr>
      <t>(g/kg)</t>
    </r>
    <phoneticPr fontId="2" type="noConversion"/>
  </si>
  <si>
    <r>
      <t>FC</t>
    </r>
    <r>
      <rPr>
        <b/>
        <vertAlign val="subscript"/>
        <sz val="10"/>
        <rFont val="Arial"/>
        <family val="2"/>
      </rPr>
      <t>2,3,i,2016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</si>
  <si>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2,3,i,2016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</si>
  <si>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2,3,i,2016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</si>
  <si>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3,baseline </t>
    </r>
    <r>
      <rPr>
        <b/>
        <sz val="10"/>
        <rFont val="Arial"/>
        <family val="2"/>
      </rPr>
      <t>(tC/ha)</t>
    </r>
    <phoneticPr fontId="2" type="noConversion"/>
  </si>
  <si>
    <t>GTB-02</t>
  </si>
  <si>
    <t>GTB-09</t>
  </si>
  <si>
    <t>GTB-10</t>
  </si>
  <si>
    <t>GTB-20</t>
  </si>
  <si>
    <t>SNB-13</t>
  </si>
  <si>
    <t>SNB-14</t>
  </si>
  <si>
    <r>
      <t>FC</t>
    </r>
    <r>
      <rPr>
        <b/>
        <vertAlign val="subscript"/>
        <sz val="10"/>
        <rFont val="Arial"/>
        <family val="2"/>
      </rPr>
      <t>2,3,i,2021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</si>
  <si>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2,3,i,2021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</si>
  <si>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2,3,i,2021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</si>
  <si>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2,3,i,2021</t>
    </r>
    <r>
      <rPr>
        <b/>
        <sz val="10"/>
        <rFont val="Arial"/>
        <family val="2"/>
      </rPr>
      <t>(tC/ha)</t>
    </r>
    <phoneticPr fontId="2" type="noConversion"/>
  </si>
  <si>
    <t>GTP-02</t>
  </si>
  <si>
    <t>GTP-09</t>
  </si>
  <si>
    <t>GTP-10</t>
  </si>
  <si>
    <t>GTP-20</t>
  </si>
  <si>
    <t>SNP-13</t>
  </si>
  <si>
    <t>SNP-14</t>
  </si>
  <si>
    <r>
      <t>FC</t>
    </r>
    <r>
      <rPr>
        <b/>
        <vertAlign val="subscript"/>
        <sz val="10"/>
        <rFont val="Arial"/>
        <family val="2"/>
      </rPr>
      <t>1,2,i,2016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</si>
  <si>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1,2,i,2016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</si>
  <si>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1,2,i,2016</t>
    </r>
    <r>
      <rPr>
        <b/>
        <sz val="10"/>
        <rFont val="Arial"/>
        <family val="2"/>
      </rPr>
      <t xml:space="preserve"> (g/kg)</t>
    </r>
    <phoneticPr fontId="2" type="noConversion"/>
  </si>
  <si>
    <t>GT-02</t>
    <phoneticPr fontId="2" type="noConversion"/>
  </si>
  <si>
    <t>GT-09</t>
    <phoneticPr fontId="2" type="noConversion"/>
  </si>
  <si>
    <t>GT-10</t>
    <phoneticPr fontId="2" type="noConversion"/>
  </si>
  <si>
    <t>GT-20</t>
    <phoneticPr fontId="2" type="noConversion"/>
  </si>
  <si>
    <t>SN-13</t>
    <phoneticPr fontId="2" type="noConversion"/>
  </si>
  <si>
    <t>SN-14</t>
    <phoneticPr fontId="2" type="noConversion"/>
  </si>
  <si>
    <r>
      <t>FC</t>
    </r>
    <r>
      <rPr>
        <b/>
        <vertAlign val="subscript"/>
        <sz val="10"/>
        <rFont val="Arial"/>
        <family val="2"/>
      </rPr>
      <t>2,4,i,2016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</si>
  <si>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2,4,i,2016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</si>
  <si>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2,4,i,2016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</si>
  <si>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4,baseline </t>
    </r>
    <r>
      <rPr>
        <b/>
        <sz val="10"/>
        <rFont val="Arial"/>
        <family val="2"/>
      </rPr>
      <t>(tC/ha)</t>
    </r>
    <phoneticPr fontId="2" type="noConversion"/>
  </si>
  <si>
    <t>GTB-01</t>
  </si>
  <si>
    <t>GTB-07</t>
  </si>
  <si>
    <t>MLB-01</t>
  </si>
  <si>
    <t>MLB-03</t>
  </si>
  <si>
    <t>SDB-05</t>
  </si>
  <si>
    <t>SDB-06</t>
  </si>
  <si>
    <r>
      <t>FC</t>
    </r>
    <r>
      <rPr>
        <b/>
        <vertAlign val="subscript"/>
        <sz val="10"/>
        <rFont val="Arial"/>
        <family val="2"/>
      </rPr>
      <t>2,4,i,2021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</si>
  <si>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2,4,i,2021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</si>
  <si>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2,4,i,2021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</si>
  <si>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2,4,i,2021</t>
    </r>
    <r>
      <rPr>
        <b/>
        <sz val="10"/>
        <rFont val="Arial"/>
        <family val="2"/>
      </rPr>
      <t>(tC/ha)</t>
    </r>
    <phoneticPr fontId="2" type="noConversion"/>
  </si>
  <si>
    <t>GTP-01</t>
  </si>
  <si>
    <t>GTP-07</t>
  </si>
  <si>
    <t>MLP-01</t>
  </si>
  <si>
    <t>MLP-03</t>
  </si>
  <si>
    <t>SDP-05</t>
  </si>
  <si>
    <t>SDP-06</t>
  </si>
  <si>
    <t>GT-01</t>
    <phoneticPr fontId="2" type="noConversion"/>
  </si>
  <si>
    <t>sandy loam</t>
    <phoneticPr fontId="2" type="noConversion"/>
  </si>
  <si>
    <t>GT-07</t>
    <phoneticPr fontId="2" type="noConversion"/>
  </si>
  <si>
    <t>ML-01</t>
    <phoneticPr fontId="2" type="noConversion"/>
  </si>
  <si>
    <t>ML-03</t>
    <phoneticPr fontId="2" type="noConversion"/>
  </si>
  <si>
    <t>SD-05</t>
    <phoneticPr fontId="2" type="noConversion"/>
  </si>
  <si>
    <t>SD-06</t>
    <phoneticPr fontId="2" type="noConversion"/>
  </si>
  <si>
    <r>
      <t>FC</t>
    </r>
    <r>
      <rPr>
        <b/>
        <vertAlign val="subscript"/>
        <sz val="10"/>
        <rFont val="Arial"/>
        <family val="2"/>
      </rPr>
      <t>3,5,i,2016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</si>
  <si>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3,5,i,2016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</si>
  <si>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3,5,i,2016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</si>
  <si>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5,baseline </t>
    </r>
    <r>
      <rPr>
        <b/>
        <sz val="10"/>
        <rFont val="Arial"/>
        <family val="2"/>
      </rPr>
      <t>(tC/ha)</t>
    </r>
    <phoneticPr fontId="2" type="noConversion"/>
  </si>
  <si>
    <t>GTB-17</t>
  </si>
  <si>
    <t>MLB-02</t>
  </si>
  <si>
    <t>SDMCB-06</t>
  </si>
  <si>
    <t>SNB-07</t>
  </si>
  <si>
    <t>SNB-08</t>
  </si>
  <si>
    <t>SNB-11</t>
  </si>
  <si>
    <r>
      <t>FC</t>
    </r>
    <r>
      <rPr>
        <b/>
        <vertAlign val="subscript"/>
        <sz val="10"/>
        <rFont val="Arial"/>
        <family val="2"/>
      </rPr>
      <t>3,5,i,2021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</si>
  <si>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3,5,i,2021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</si>
  <si>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3,5,i,2021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</si>
  <si>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3,5,i,2021</t>
    </r>
    <r>
      <rPr>
        <b/>
        <sz val="10"/>
        <rFont val="Arial"/>
        <family val="2"/>
      </rPr>
      <t>(tC/ha)</t>
    </r>
    <phoneticPr fontId="2" type="noConversion"/>
  </si>
  <si>
    <t>GTP-17</t>
  </si>
  <si>
    <t>MLP-02</t>
  </si>
  <si>
    <t>SDMCP-06</t>
  </si>
  <si>
    <t>SNP-07</t>
  </si>
  <si>
    <t>SNP-08</t>
  </si>
  <si>
    <t>SNP-11</t>
  </si>
  <si>
    <t>GT-17</t>
    <phoneticPr fontId="2" type="noConversion"/>
  </si>
  <si>
    <t>ML-02</t>
    <phoneticPr fontId="2" type="noConversion"/>
  </si>
  <si>
    <t>SDMC-06</t>
    <phoneticPr fontId="2" type="noConversion"/>
  </si>
  <si>
    <t>SN-07</t>
    <phoneticPr fontId="2" type="noConversion"/>
  </si>
  <si>
    <t>SN-08</t>
    <phoneticPr fontId="2" type="noConversion"/>
  </si>
  <si>
    <t>SN-11</t>
    <phoneticPr fontId="2" type="noConversion"/>
  </si>
  <si>
    <r>
      <t>BD</t>
    </r>
    <r>
      <rPr>
        <b/>
        <vertAlign val="subscript"/>
        <sz val="10"/>
        <rFont val="Arial"/>
        <family val="2"/>
      </rPr>
      <t>3,6,i,2016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</si>
  <si>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3,6,i,2016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</si>
  <si>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baseline </t>
    </r>
    <r>
      <rPr>
        <b/>
        <sz val="10"/>
        <rFont val="Arial"/>
        <family val="2"/>
      </rPr>
      <t>(tC/ha)</t>
    </r>
    <phoneticPr fontId="2" type="noConversion"/>
  </si>
  <si>
    <t>GTB-08</t>
  </si>
  <si>
    <t>GTB-13</t>
  </si>
  <si>
    <t>GTB-14</t>
  </si>
  <si>
    <t>GTB-16</t>
  </si>
  <si>
    <t>SNB-09</t>
  </si>
  <si>
    <t>SNB-10</t>
  </si>
  <si>
    <r>
      <t>FC</t>
    </r>
    <r>
      <rPr>
        <b/>
        <vertAlign val="subscript"/>
        <sz val="10"/>
        <rFont val="Arial"/>
        <family val="2"/>
      </rPr>
      <t>3,6,i,2021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</si>
  <si>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3,6,i,2021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</si>
  <si>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3,6,i,2021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</si>
  <si>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3,6,i,2021</t>
    </r>
    <r>
      <rPr>
        <b/>
        <sz val="10"/>
        <rFont val="Arial"/>
        <family val="2"/>
      </rPr>
      <t>(tC/ha)</t>
    </r>
    <phoneticPr fontId="2" type="noConversion"/>
  </si>
  <si>
    <t>GTP-08</t>
  </si>
  <si>
    <t>GTP-13</t>
  </si>
  <si>
    <t>GTP-14</t>
  </si>
  <si>
    <t>GTP-16</t>
  </si>
  <si>
    <t>SNP-09</t>
  </si>
  <si>
    <t>SNP-10</t>
  </si>
  <si>
    <t>GT-08</t>
    <phoneticPr fontId="2" type="noConversion"/>
  </si>
  <si>
    <t>GT-13</t>
    <phoneticPr fontId="2" type="noConversion"/>
  </si>
  <si>
    <t>GT-14</t>
    <phoneticPr fontId="2" type="noConversion"/>
  </si>
  <si>
    <t>GT-16</t>
    <phoneticPr fontId="2" type="noConversion"/>
  </si>
  <si>
    <t>SN-09</t>
    <phoneticPr fontId="2" type="noConversion"/>
  </si>
  <si>
    <t>SN-10</t>
    <phoneticPr fontId="2" type="noConversion"/>
  </si>
  <si>
    <r>
      <t>FC</t>
    </r>
    <r>
      <rPr>
        <b/>
        <vertAlign val="subscript"/>
        <sz val="10"/>
        <rFont val="Arial"/>
        <family val="2"/>
      </rPr>
      <t>1,7,i,2016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</si>
  <si>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1,7,i,2016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</si>
  <si>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1,7,i,2016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</si>
  <si>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7,baseline </t>
    </r>
    <r>
      <rPr>
        <b/>
        <sz val="10"/>
        <rFont val="Arial"/>
        <family val="2"/>
      </rPr>
      <t>(tC/ha)</t>
    </r>
    <phoneticPr fontId="2" type="noConversion"/>
  </si>
  <si>
    <t>GTB-03</t>
  </si>
  <si>
    <t>GTB-04</t>
  </si>
  <si>
    <t>GTB-06</t>
  </si>
  <si>
    <t>SDMCB-07</t>
  </si>
  <si>
    <t>SDMCB-17</t>
  </si>
  <si>
    <t>SDMCB-24</t>
  </si>
  <si>
    <r>
      <t>FC</t>
    </r>
    <r>
      <rPr>
        <b/>
        <vertAlign val="subscript"/>
        <sz val="10"/>
        <rFont val="Arial"/>
        <family val="2"/>
      </rPr>
      <t>1,7,i,2021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</si>
  <si>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1,7,i,2021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</si>
  <si>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1,7,i,2021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</si>
  <si>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1,7,i,2021</t>
    </r>
    <r>
      <rPr>
        <b/>
        <sz val="10"/>
        <rFont val="Arial"/>
        <family val="2"/>
      </rPr>
      <t>(tC/ha)</t>
    </r>
    <phoneticPr fontId="2" type="noConversion"/>
  </si>
  <si>
    <t>GTP-03</t>
  </si>
  <si>
    <t>GTP-04</t>
  </si>
  <si>
    <t>GTP-06</t>
  </si>
  <si>
    <t>SDMCP-07</t>
  </si>
  <si>
    <t>SDMCP-17</t>
  </si>
  <si>
    <t>SDMCP-24</t>
  </si>
  <si>
    <t>GT-03</t>
    <phoneticPr fontId="2" type="noConversion"/>
  </si>
  <si>
    <t>GT-04</t>
    <phoneticPr fontId="2" type="noConversion"/>
  </si>
  <si>
    <t>GT-06</t>
    <phoneticPr fontId="2" type="noConversion"/>
  </si>
  <si>
    <t>SDMC-07</t>
    <phoneticPr fontId="2" type="noConversion"/>
  </si>
  <si>
    <t>SDMC-17</t>
    <phoneticPr fontId="2" type="noConversion"/>
  </si>
  <si>
    <t>SDMC-24</t>
    <phoneticPr fontId="2" type="noConversion"/>
  </si>
  <si>
    <r>
      <t>FC</t>
    </r>
    <r>
      <rPr>
        <b/>
        <vertAlign val="subscript"/>
        <sz val="10"/>
        <rFont val="Arial"/>
        <family val="2"/>
      </rPr>
      <t>1,8,i,2016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</si>
  <si>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1,8,i,2016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</si>
  <si>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1,8,i,2016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</si>
  <si>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color theme="1"/>
        <rFont val="Arial"/>
        <family val="2"/>
      </rPr>
      <t xml:space="preserve">8,baseline </t>
    </r>
    <r>
      <rPr>
        <b/>
        <sz val="10"/>
        <color theme="1"/>
        <rFont val="Arial"/>
        <family val="2"/>
      </rPr>
      <t>(tC/ha)</t>
    </r>
    <phoneticPr fontId="2" type="noConversion"/>
  </si>
  <si>
    <t>GTB-05</t>
  </si>
  <si>
    <t>GTB-18</t>
  </si>
  <si>
    <t>MLB-08</t>
  </si>
  <si>
    <t>MLB-09</t>
  </si>
  <si>
    <t>SDB-01</t>
  </si>
  <si>
    <t>SDB-04</t>
  </si>
  <si>
    <t>SDB-07</t>
  </si>
  <si>
    <t>SDMCB-04</t>
  </si>
  <si>
    <t>SDMCB-05</t>
  </si>
  <si>
    <r>
      <t>FC</t>
    </r>
    <r>
      <rPr>
        <b/>
        <vertAlign val="subscript"/>
        <sz val="10"/>
        <rFont val="Arial"/>
        <family val="2"/>
      </rPr>
      <t>1,8,i,2021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</si>
  <si>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1,8,i,2021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</si>
  <si>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1,8,i,2021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</si>
  <si>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1,8,i,2021</t>
    </r>
    <r>
      <rPr>
        <b/>
        <sz val="10"/>
        <rFont val="Arial"/>
        <family val="2"/>
      </rPr>
      <t>(tC/ha)</t>
    </r>
    <phoneticPr fontId="2" type="noConversion"/>
  </si>
  <si>
    <t>GTP-05</t>
  </si>
  <si>
    <t>GTP-18</t>
  </si>
  <si>
    <t>MLP-08</t>
  </si>
  <si>
    <t>MLP-09</t>
  </si>
  <si>
    <t>SDP-01</t>
  </si>
  <si>
    <t>SDP-04</t>
  </si>
  <si>
    <t>SDP-07</t>
  </si>
  <si>
    <t>SDMCP-04</t>
  </si>
  <si>
    <t>SDMCP-05</t>
  </si>
  <si>
    <t>GT-05</t>
    <phoneticPr fontId="2" type="noConversion"/>
  </si>
  <si>
    <t>S11-1</t>
    <phoneticPr fontId="2" type="noConversion"/>
  </si>
  <si>
    <t>loam</t>
    <phoneticPr fontId="2" type="noConversion"/>
  </si>
  <si>
    <t>GT-18</t>
    <phoneticPr fontId="2" type="noConversion"/>
  </si>
  <si>
    <t>S11-2</t>
  </si>
  <si>
    <t>ML-08</t>
    <phoneticPr fontId="2" type="noConversion"/>
  </si>
  <si>
    <t>S11-3</t>
  </si>
  <si>
    <t>ML-09</t>
    <phoneticPr fontId="2" type="noConversion"/>
  </si>
  <si>
    <t>S11-4</t>
  </si>
  <si>
    <t>SD-01</t>
    <phoneticPr fontId="2" type="noConversion"/>
  </si>
  <si>
    <t>S11-5</t>
  </si>
  <si>
    <t>SD-04</t>
    <phoneticPr fontId="2" type="noConversion"/>
  </si>
  <si>
    <t>S11-6</t>
  </si>
  <si>
    <t>SD-07</t>
    <phoneticPr fontId="2" type="noConversion"/>
  </si>
  <si>
    <t>S11-7</t>
  </si>
  <si>
    <t>SDMC-04</t>
    <phoneticPr fontId="2" type="noConversion"/>
  </si>
  <si>
    <t>S11-8</t>
  </si>
  <si>
    <t>SDMC-05</t>
    <phoneticPr fontId="2" type="noConversion"/>
  </si>
  <si>
    <t>S11-9</t>
  </si>
  <si>
    <r>
      <t>FC</t>
    </r>
    <r>
      <rPr>
        <b/>
        <vertAlign val="subscript"/>
        <sz val="10"/>
        <rFont val="Arial"/>
        <family val="2"/>
      </rPr>
      <t>2,9,i,2016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</si>
  <si>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2,9,i,2016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</si>
  <si>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2,9,i,2016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</si>
  <si>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9,baseline </t>
    </r>
    <r>
      <rPr>
        <b/>
        <sz val="10"/>
        <rFont val="Arial"/>
        <family val="2"/>
      </rPr>
      <t>(tC/ha)</t>
    </r>
    <phoneticPr fontId="2" type="noConversion"/>
  </si>
  <si>
    <t>SDMCB-01</t>
  </si>
  <si>
    <t>SDMCB-20</t>
  </si>
  <si>
    <t>SDMCB-22</t>
  </si>
  <si>
    <t>SDMCB-23</t>
  </si>
  <si>
    <t>SNB-32</t>
  </si>
  <si>
    <t>SNB-35</t>
  </si>
  <si>
    <r>
      <t>FC</t>
    </r>
    <r>
      <rPr>
        <b/>
        <vertAlign val="subscript"/>
        <sz val="10"/>
        <rFont val="Arial"/>
        <family val="2"/>
      </rPr>
      <t>2,9,i,2021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</si>
  <si>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2,9,i,2021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</si>
  <si>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2,9,i,2021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</si>
  <si>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2,9,i,2021</t>
    </r>
    <r>
      <rPr>
        <b/>
        <sz val="10"/>
        <rFont val="Arial"/>
        <family val="2"/>
      </rPr>
      <t>(tC/ha)</t>
    </r>
    <phoneticPr fontId="2" type="noConversion"/>
  </si>
  <si>
    <t>SDMCP-01</t>
  </si>
  <si>
    <t>SDMCP-20</t>
  </si>
  <si>
    <t>SDMCP-22</t>
  </si>
  <si>
    <t>SDMCP-23</t>
  </si>
  <si>
    <t>SNP-32</t>
  </si>
  <si>
    <t>SNP-35</t>
  </si>
  <si>
    <t>SDMC-01</t>
    <phoneticPr fontId="2" type="noConversion"/>
  </si>
  <si>
    <t>SDMC-20</t>
    <phoneticPr fontId="2" type="noConversion"/>
  </si>
  <si>
    <t>SDMC-22</t>
    <phoneticPr fontId="2" type="noConversion"/>
  </si>
  <si>
    <t>SDMC-23</t>
    <phoneticPr fontId="2" type="noConversion"/>
  </si>
  <si>
    <t>SN-32</t>
    <phoneticPr fontId="2" type="noConversion"/>
  </si>
  <si>
    <t>SN-35</t>
    <phoneticPr fontId="2" type="noConversion"/>
  </si>
  <si>
    <r>
      <t>FC</t>
    </r>
    <r>
      <rPr>
        <b/>
        <vertAlign val="subscript"/>
        <sz val="10"/>
        <rFont val="Arial"/>
        <family val="2"/>
      </rPr>
      <t>2,10,i,2016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</si>
  <si>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2,10,i,2016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</si>
  <si>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2,10,i,2016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</si>
  <si>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10,baseline </t>
    </r>
    <r>
      <rPr>
        <b/>
        <sz val="10"/>
        <rFont val="Arial"/>
        <family val="2"/>
      </rPr>
      <t>(tC/ha)</t>
    </r>
    <phoneticPr fontId="2" type="noConversion"/>
  </si>
  <si>
    <t>MLB-07</t>
  </si>
  <si>
    <t>MLB-10</t>
  </si>
  <si>
    <t>SDB-08</t>
  </si>
  <si>
    <t>SDMCB-10</t>
  </si>
  <si>
    <t>SDMCB-11</t>
  </si>
  <si>
    <t>SDMCB-12</t>
  </si>
  <si>
    <t>SDMCB-19</t>
  </si>
  <si>
    <t>SDMCB-21</t>
  </si>
  <si>
    <t>SNB-15</t>
  </si>
  <si>
    <r>
      <t>FC</t>
    </r>
    <r>
      <rPr>
        <b/>
        <vertAlign val="subscript"/>
        <sz val="10"/>
        <rFont val="Arial"/>
        <family val="2"/>
      </rPr>
      <t>2,10,i,2021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</si>
  <si>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2,10,i,2021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</si>
  <si>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2,10,i,2021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</si>
  <si>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2,10,i,2021</t>
    </r>
    <r>
      <rPr>
        <b/>
        <sz val="10"/>
        <rFont val="Arial"/>
        <family val="2"/>
      </rPr>
      <t>(tC/ha)</t>
    </r>
    <phoneticPr fontId="2" type="noConversion"/>
  </si>
  <si>
    <t>MLP-07</t>
  </si>
  <si>
    <t>MLP-10</t>
  </si>
  <si>
    <t>SDP-08</t>
  </si>
  <si>
    <t>SDMCP-10</t>
  </si>
  <si>
    <t>SDMCP-11</t>
  </si>
  <si>
    <t>SDMCP-12</t>
  </si>
  <si>
    <t>SDMCP-19</t>
  </si>
  <si>
    <t>SDMCP-21</t>
  </si>
  <si>
    <t>SNP-15</t>
  </si>
  <si>
    <t>ML-07</t>
    <phoneticPr fontId="2" type="noConversion"/>
  </si>
  <si>
    <t>ML-10</t>
    <phoneticPr fontId="2" type="noConversion"/>
  </si>
  <si>
    <t>SD-08</t>
    <phoneticPr fontId="2" type="noConversion"/>
  </si>
  <si>
    <t>SDMC-10</t>
    <phoneticPr fontId="2" type="noConversion"/>
  </si>
  <si>
    <t>SDMC-11</t>
    <phoneticPr fontId="2" type="noConversion"/>
  </si>
  <si>
    <t>SDMC-12</t>
    <phoneticPr fontId="2" type="noConversion"/>
  </si>
  <si>
    <t>SDMC-19</t>
    <phoneticPr fontId="2" type="noConversion"/>
  </si>
  <si>
    <t>SDMC-21</t>
    <phoneticPr fontId="2" type="noConversion"/>
  </si>
  <si>
    <t>SN-15</t>
    <phoneticPr fontId="2" type="noConversion"/>
  </si>
  <si>
    <r>
      <t>FC</t>
    </r>
    <r>
      <rPr>
        <b/>
        <vertAlign val="subscript"/>
        <sz val="10"/>
        <rFont val="Arial"/>
        <family val="2"/>
      </rPr>
      <t>3,11,i,2016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</si>
  <si>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3,11,i,2016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</si>
  <si>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3,11,i,2016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</si>
  <si>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11,baseline </t>
    </r>
    <r>
      <rPr>
        <b/>
        <sz val="10"/>
        <rFont val="Arial"/>
        <family val="2"/>
      </rPr>
      <t>(tC/ha)</t>
    </r>
    <phoneticPr fontId="2" type="noConversion"/>
  </si>
  <si>
    <t>SDB-02</t>
    <phoneticPr fontId="2" type="noConversion"/>
  </si>
  <si>
    <t>SDB-09</t>
  </si>
  <si>
    <t>SDMCB-26</t>
  </si>
  <si>
    <t>SNB-01</t>
  </si>
  <si>
    <t>SNB-31</t>
  </si>
  <si>
    <t>SNB-33</t>
  </si>
  <si>
    <r>
      <t>FC</t>
    </r>
    <r>
      <rPr>
        <b/>
        <vertAlign val="subscript"/>
        <sz val="10"/>
        <rFont val="Arial"/>
        <family val="2"/>
      </rPr>
      <t>3,11,i,2021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</si>
  <si>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3,11,i,2021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</si>
  <si>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3,11,i,2021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</si>
  <si>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3,11,i,2021</t>
    </r>
    <r>
      <rPr>
        <b/>
        <sz val="10"/>
        <rFont val="Arial"/>
        <family val="2"/>
      </rPr>
      <t>(tC/ha)</t>
    </r>
    <phoneticPr fontId="2" type="noConversion"/>
  </si>
  <si>
    <t>SDP-02</t>
  </si>
  <si>
    <t>SDP-09</t>
  </si>
  <si>
    <t>SDMCP-26</t>
  </si>
  <si>
    <t>SNP-01</t>
  </si>
  <si>
    <t>SNP-31</t>
  </si>
  <si>
    <t>SNP-33</t>
  </si>
  <si>
    <t>SD-02</t>
    <phoneticPr fontId="2" type="noConversion"/>
  </si>
  <si>
    <t>SD-09</t>
    <phoneticPr fontId="2" type="noConversion"/>
  </si>
  <si>
    <t>SDMC-26</t>
    <phoneticPr fontId="2" type="noConversion"/>
  </si>
  <si>
    <t>SN-01</t>
    <phoneticPr fontId="2" type="noConversion"/>
  </si>
  <si>
    <t>SN-31</t>
    <phoneticPr fontId="2" type="noConversion"/>
  </si>
  <si>
    <t>SN-33</t>
    <phoneticPr fontId="2" type="noConversion"/>
  </si>
  <si>
    <r>
      <t>FC</t>
    </r>
    <r>
      <rPr>
        <b/>
        <vertAlign val="subscript"/>
        <sz val="10"/>
        <rFont val="Arial"/>
        <family val="2"/>
      </rPr>
      <t>3,12,i,2016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</si>
  <si>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3,12,i,2016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</si>
  <si>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3,12,i,2016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</si>
  <si>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12,baseline </t>
    </r>
    <r>
      <rPr>
        <b/>
        <sz val="10"/>
        <rFont val="Arial"/>
        <family val="2"/>
      </rPr>
      <t>(tC/ha)</t>
    </r>
    <phoneticPr fontId="2" type="noConversion"/>
  </si>
  <si>
    <t>MLB-05</t>
  </si>
  <si>
    <t>SDMCB-02</t>
  </si>
  <si>
    <t>SDMCB-09</t>
  </si>
  <si>
    <t>SDMCB-13</t>
  </si>
  <si>
    <t>SDMCB-16</t>
  </si>
  <si>
    <t>SDMCB-25</t>
  </si>
  <si>
    <t>SDMCB-27</t>
  </si>
  <si>
    <t>SNB-02</t>
  </si>
  <si>
    <t>SNB-36</t>
  </si>
  <si>
    <r>
      <t>FC</t>
    </r>
    <r>
      <rPr>
        <b/>
        <vertAlign val="subscript"/>
        <sz val="10"/>
        <rFont val="Arial"/>
        <family val="2"/>
      </rPr>
      <t>3,12,i,2021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</si>
  <si>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3,12,i,2021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</si>
  <si>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3,12,i,2021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</si>
  <si>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3,12,i,2021</t>
    </r>
    <r>
      <rPr>
        <b/>
        <sz val="10"/>
        <rFont val="Arial"/>
        <family val="2"/>
      </rPr>
      <t>(tC/ha)</t>
    </r>
    <phoneticPr fontId="2" type="noConversion"/>
  </si>
  <si>
    <t>MLP-05</t>
  </si>
  <si>
    <t>SDMCP-02</t>
  </si>
  <si>
    <t>SDMCP-09</t>
  </si>
  <si>
    <t>SDMCP-13</t>
  </si>
  <si>
    <t>SDMCP-16</t>
  </si>
  <si>
    <t>SDMCP-25</t>
  </si>
  <si>
    <t>SDMCP-27</t>
  </si>
  <si>
    <t>SNP-02</t>
  </si>
  <si>
    <t>SNP-36</t>
  </si>
  <si>
    <t>ML-05</t>
    <phoneticPr fontId="2" type="noConversion"/>
  </si>
  <si>
    <t>SDMC-02</t>
    <phoneticPr fontId="2" type="noConversion"/>
  </si>
  <si>
    <t>SDMC-09</t>
    <phoneticPr fontId="2" type="noConversion"/>
  </si>
  <si>
    <t>SDMC-13</t>
    <phoneticPr fontId="2" type="noConversion"/>
  </si>
  <si>
    <t>SDMC-16</t>
    <phoneticPr fontId="2" type="noConversion"/>
  </si>
  <si>
    <t>SDMC-25</t>
    <phoneticPr fontId="2" type="noConversion"/>
  </si>
  <si>
    <t>SDMC-27</t>
    <phoneticPr fontId="2" type="noConversion"/>
  </si>
  <si>
    <t>SN-02</t>
    <phoneticPr fontId="2" type="noConversion"/>
  </si>
  <si>
    <t>SN-36</t>
    <phoneticPr fontId="2" type="noConversion"/>
  </si>
  <si>
    <r>
      <t>FC</t>
    </r>
    <r>
      <rPr>
        <b/>
        <vertAlign val="subscript"/>
        <sz val="10"/>
        <rFont val="Arial"/>
        <family val="2"/>
      </rPr>
      <t>1,13,i,2016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</si>
  <si>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1,13,i,2016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</si>
  <si>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1,13,i,2016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</si>
  <si>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13,baseline </t>
    </r>
    <r>
      <rPr>
        <b/>
        <sz val="10"/>
        <rFont val="Arial"/>
        <family val="2"/>
      </rPr>
      <t>(tC/ha)</t>
    </r>
    <phoneticPr fontId="2" type="noConversion"/>
  </si>
  <si>
    <t>SDMCB-03</t>
  </si>
  <si>
    <t>SDMCB-14</t>
  </si>
  <si>
    <t>SNB-04</t>
  </si>
  <si>
    <t>SNB-34</t>
  </si>
  <si>
    <t>SNB-41</t>
  </si>
  <si>
    <t>SNB-43</t>
  </si>
  <si>
    <r>
      <t>FC</t>
    </r>
    <r>
      <rPr>
        <b/>
        <vertAlign val="subscript"/>
        <sz val="10"/>
        <rFont val="Arial"/>
        <family val="2"/>
      </rPr>
      <t>1,13,i,2021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</si>
  <si>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1,13,i,2021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</si>
  <si>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1,13,i,2021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</si>
  <si>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1,13,i,2021</t>
    </r>
    <r>
      <rPr>
        <b/>
        <sz val="10"/>
        <rFont val="Arial"/>
        <family val="2"/>
      </rPr>
      <t>(tC/ha)</t>
    </r>
    <phoneticPr fontId="2" type="noConversion"/>
  </si>
  <si>
    <t>SDMCP-03</t>
  </si>
  <si>
    <t>SDMCP-14</t>
  </si>
  <si>
    <t>SNP-04</t>
  </si>
  <si>
    <t>SNP-34</t>
  </si>
  <si>
    <t>SNP-41</t>
  </si>
  <si>
    <t>SNP-43</t>
  </si>
  <si>
    <t>SDMC-03</t>
    <phoneticPr fontId="2" type="noConversion"/>
  </si>
  <si>
    <t>SDMC-14</t>
    <phoneticPr fontId="2" type="noConversion"/>
  </si>
  <si>
    <t>SN-04</t>
    <phoneticPr fontId="2" type="noConversion"/>
  </si>
  <si>
    <t>SN-34</t>
    <phoneticPr fontId="2" type="noConversion"/>
  </si>
  <si>
    <t>SN-41</t>
    <phoneticPr fontId="2" type="noConversion"/>
  </si>
  <si>
    <t>SN-43</t>
    <phoneticPr fontId="2" type="noConversion"/>
  </si>
  <si>
    <r>
      <t>FC</t>
    </r>
    <r>
      <rPr>
        <b/>
        <vertAlign val="subscript"/>
        <sz val="10"/>
        <rFont val="Arial"/>
        <family val="2"/>
      </rPr>
      <t>1,14,i,2016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</si>
  <si>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1,14,i,2016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</si>
  <si>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1,14,i,2016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</si>
  <si>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14,baseline </t>
    </r>
    <r>
      <rPr>
        <b/>
        <sz val="10"/>
        <rFont val="Arial"/>
        <family val="2"/>
      </rPr>
      <t>(tC/ha)</t>
    </r>
    <phoneticPr fontId="2" type="noConversion"/>
  </si>
  <si>
    <t>SNB-12</t>
  </si>
  <si>
    <t>SNB-16</t>
  </si>
  <si>
    <t>SNB-17</t>
  </si>
  <si>
    <t>SNB-29</t>
  </si>
  <si>
    <t>SNB-39</t>
  </si>
  <si>
    <t>SNB-42</t>
  </si>
  <si>
    <t>SN-12</t>
    <phoneticPr fontId="2" type="noConversion"/>
  </si>
  <si>
    <t>SN-16</t>
    <phoneticPr fontId="2" type="noConversion"/>
  </si>
  <si>
    <t>SN-17</t>
  </si>
  <si>
    <t>SN-29</t>
  </si>
  <si>
    <t>SN-39</t>
  </si>
  <si>
    <t>SN-42</t>
  </si>
  <si>
    <r>
      <t>FC</t>
    </r>
    <r>
      <rPr>
        <b/>
        <vertAlign val="subscript"/>
        <sz val="10"/>
        <rFont val="Arial"/>
        <family val="2"/>
      </rPr>
      <t>1,14,i,2021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</si>
  <si>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1,14,i,2021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</si>
  <si>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1,14,i,2021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</si>
  <si>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1,14,i,2021</t>
    </r>
    <r>
      <rPr>
        <b/>
        <sz val="10"/>
        <rFont val="Arial"/>
        <family val="2"/>
      </rPr>
      <t>(tC/ha)</t>
    </r>
    <phoneticPr fontId="2" type="noConversion"/>
  </si>
  <si>
    <t>SNP-12</t>
  </si>
  <si>
    <t>SNP-16</t>
  </si>
  <si>
    <t>SNP-17</t>
  </si>
  <si>
    <t>SNP-29</t>
  </si>
  <si>
    <t>SNP-39</t>
  </si>
  <si>
    <t>SNP-42</t>
  </si>
  <si>
    <r>
      <t>FC</t>
    </r>
    <r>
      <rPr>
        <b/>
        <vertAlign val="subscript"/>
        <sz val="10"/>
        <rFont val="Arial"/>
        <family val="2"/>
      </rPr>
      <t>2,15,i,2016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</si>
  <si>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2,15,i,2016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</si>
  <si>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2,15,i,2016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</si>
  <si>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15,baseline </t>
    </r>
    <r>
      <rPr>
        <b/>
        <sz val="10"/>
        <rFont val="Arial"/>
        <family val="2"/>
      </rPr>
      <t>(tC/ha)</t>
    </r>
    <phoneticPr fontId="2" type="noConversion"/>
  </si>
  <si>
    <t>MLB-06</t>
  </si>
  <si>
    <t>SDB-03</t>
  </si>
  <si>
    <t>SDMCB-15</t>
  </si>
  <si>
    <t>SNB-06</t>
  </si>
  <si>
    <t>SNB-23</t>
  </si>
  <si>
    <t>SNB-25</t>
  </si>
  <si>
    <t>ML-06</t>
    <phoneticPr fontId="2" type="noConversion"/>
  </si>
  <si>
    <t>SD-03</t>
    <phoneticPr fontId="2" type="noConversion"/>
  </si>
  <si>
    <t>SDMC-15</t>
    <phoneticPr fontId="2" type="noConversion"/>
  </si>
  <si>
    <t>SN-06</t>
    <phoneticPr fontId="2" type="noConversion"/>
  </si>
  <si>
    <t>SN-23</t>
    <phoneticPr fontId="2" type="noConversion"/>
  </si>
  <si>
    <t>SN-25</t>
    <phoneticPr fontId="2" type="noConversion"/>
  </si>
  <si>
    <r>
      <t>FC</t>
    </r>
    <r>
      <rPr>
        <b/>
        <vertAlign val="subscript"/>
        <sz val="10"/>
        <rFont val="Arial"/>
        <family val="2"/>
      </rPr>
      <t>2,15,i,2021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</si>
  <si>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2,15,i,2021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</si>
  <si>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2,15,i,2021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</si>
  <si>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2,15,i,2021</t>
    </r>
    <r>
      <rPr>
        <b/>
        <sz val="10"/>
        <rFont val="Arial"/>
        <family val="2"/>
      </rPr>
      <t>(tC/ha)</t>
    </r>
    <phoneticPr fontId="2" type="noConversion"/>
  </si>
  <si>
    <t>MLP-06</t>
  </si>
  <si>
    <t>SDP-03</t>
  </si>
  <si>
    <t>SDMCP-15</t>
  </si>
  <si>
    <t>SNP-06</t>
  </si>
  <si>
    <t>SNP-23</t>
  </si>
  <si>
    <t>SNP-25</t>
  </si>
  <si>
    <r>
      <t>BD</t>
    </r>
    <r>
      <rPr>
        <b/>
        <vertAlign val="subscript"/>
        <sz val="10"/>
        <rFont val="Arial"/>
        <family val="2"/>
      </rPr>
      <t>2,16,i,2016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</si>
  <si>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2,16,i,2016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</si>
  <si>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16,baseline </t>
    </r>
    <r>
      <rPr>
        <b/>
        <sz val="10"/>
        <rFont val="Arial"/>
        <family val="2"/>
      </rPr>
      <t>(tC/ha)</t>
    </r>
    <phoneticPr fontId="2" type="noConversion"/>
  </si>
  <si>
    <r>
      <t>FC</t>
    </r>
    <r>
      <rPr>
        <b/>
        <vertAlign val="subscript"/>
        <sz val="10"/>
        <rFont val="Arial"/>
        <family val="2"/>
      </rPr>
      <t>2,16,i,2016</t>
    </r>
    <r>
      <rPr>
        <b/>
        <sz val="10"/>
        <rFont val="Arial"/>
        <family val="2"/>
      </rPr>
      <t>(%)</t>
    </r>
    <phoneticPr fontId="2" type="noConversion"/>
  </si>
  <si>
    <t>MLB-04</t>
  </si>
  <si>
    <t>SDMCB-08</t>
  </si>
  <si>
    <t>SNB-05</t>
  </si>
  <si>
    <t>SNB-21</t>
  </si>
  <si>
    <t>SNB-22</t>
  </si>
  <si>
    <t>SNB-27</t>
  </si>
  <si>
    <t>ML-04</t>
    <phoneticPr fontId="2" type="noConversion"/>
  </si>
  <si>
    <t>SDMC-08</t>
    <phoneticPr fontId="2" type="noConversion"/>
  </si>
  <si>
    <t>SN-05</t>
    <phoneticPr fontId="2" type="noConversion"/>
  </si>
  <si>
    <t>SN-21</t>
    <phoneticPr fontId="2" type="noConversion"/>
  </si>
  <si>
    <t>SN-22</t>
    <phoneticPr fontId="2" type="noConversion"/>
  </si>
  <si>
    <t>SN-27</t>
    <phoneticPr fontId="2" type="noConversion"/>
  </si>
  <si>
    <r>
      <t>FC</t>
    </r>
    <r>
      <rPr>
        <b/>
        <vertAlign val="subscript"/>
        <sz val="10"/>
        <rFont val="Arial"/>
        <family val="2"/>
      </rPr>
      <t>2,16,i,2021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</si>
  <si>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2,16,i,2021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</si>
  <si>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2,16,i,2021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</si>
  <si>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2,16,i,2021</t>
    </r>
    <r>
      <rPr>
        <b/>
        <sz val="10"/>
        <rFont val="Arial"/>
        <family val="2"/>
      </rPr>
      <t>(tC/ha)</t>
    </r>
    <phoneticPr fontId="2" type="noConversion"/>
  </si>
  <si>
    <t>MLP-04</t>
  </si>
  <si>
    <t>SDMCP-08</t>
  </si>
  <si>
    <t>SNP-05</t>
  </si>
  <si>
    <t>SNP-21</t>
  </si>
  <si>
    <t>SNP-22</t>
  </si>
  <si>
    <t>SNP-27</t>
  </si>
  <si>
    <r>
      <t>FC</t>
    </r>
    <r>
      <rPr>
        <b/>
        <vertAlign val="subscript"/>
        <sz val="10"/>
        <rFont val="Arial"/>
        <family val="2"/>
      </rPr>
      <t>3,17,i,2016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</si>
  <si>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3,17,i,2016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</si>
  <si>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3,17,i,2016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</si>
  <si>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17,baseline </t>
    </r>
    <r>
      <rPr>
        <b/>
        <sz val="10"/>
        <rFont val="Arial"/>
        <family val="2"/>
      </rPr>
      <t>(tC/ha)</t>
    </r>
    <phoneticPr fontId="2" type="noConversion"/>
  </si>
  <si>
    <t>SNB-03</t>
  </si>
  <si>
    <t>SNB-24</t>
  </si>
  <si>
    <t>SNB-26</t>
  </si>
  <si>
    <t>SNB-28</t>
  </si>
  <si>
    <t>SNB-30</t>
  </si>
  <si>
    <t>SNB-40</t>
  </si>
  <si>
    <r>
      <t>FC</t>
    </r>
    <r>
      <rPr>
        <b/>
        <vertAlign val="subscript"/>
        <sz val="10"/>
        <rFont val="Arial"/>
        <family val="2"/>
      </rPr>
      <t>3,17,i,2021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</si>
  <si>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3,17,i,2021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</si>
  <si>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3,17,i,2021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</si>
  <si>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3,17,i,2021</t>
    </r>
    <r>
      <rPr>
        <b/>
        <sz val="10"/>
        <rFont val="Arial"/>
        <family val="2"/>
      </rPr>
      <t>(tC/ha)</t>
    </r>
    <phoneticPr fontId="2" type="noConversion"/>
  </si>
  <si>
    <t>SNP-03</t>
    <phoneticPr fontId="2" type="noConversion"/>
  </si>
  <si>
    <t>SNP-24</t>
  </si>
  <si>
    <t>SNP-26</t>
  </si>
  <si>
    <t>SNP-28</t>
  </si>
  <si>
    <t>SNP-30</t>
  </si>
  <si>
    <t>SNP-40</t>
  </si>
  <si>
    <t>SN-03</t>
    <phoneticPr fontId="2" type="noConversion"/>
  </si>
  <si>
    <t>SN-24</t>
    <phoneticPr fontId="2" type="noConversion"/>
  </si>
  <si>
    <t>SN-26</t>
    <phoneticPr fontId="2" type="noConversion"/>
  </si>
  <si>
    <t>SN-28</t>
    <phoneticPr fontId="2" type="noConversion"/>
  </si>
  <si>
    <t>SN-30</t>
    <phoneticPr fontId="2" type="noConversion"/>
  </si>
  <si>
    <t>SN-40</t>
    <phoneticPr fontId="2" type="noConversion"/>
  </si>
  <si>
    <r>
      <t>FC</t>
    </r>
    <r>
      <rPr>
        <b/>
        <vertAlign val="subscript"/>
        <sz val="10"/>
        <rFont val="Arial"/>
        <family val="2"/>
      </rPr>
      <t>3,18,i,2016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</si>
  <si>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3,18,i,2016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</si>
  <si>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SOC3</t>
    </r>
    <r>
      <rPr>
        <b/>
        <vertAlign val="subscript"/>
        <sz val="10"/>
        <rFont val="Arial"/>
        <family val="2"/>
      </rPr>
      <t>,18,i,2016</t>
    </r>
    <r>
      <rPr>
        <b/>
        <sz val="10"/>
        <rFont val="Arial"/>
        <family val="2"/>
      </rPr>
      <t xml:space="preserve"> (g/kg)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</si>
  <si>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 xml:space="preserve">18,baseline </t>
    </r>
    <r>
      <rPr>
        <b/>
        <sz val="10"/>
        <rFont val="Arial"/>
        <family val="2"/>
      </rPr>
      <t>(tC/ha)</t>
    </r>
    <phoneticPr fontId="2" type="noConversion"/>
  </si>
  <si>
    <t>SDMCB-18</t>
  </si>
  <si>
    <t>SNB-18</t>
  </si>
  <si>
    <t>SNB-19</t>
  </si>
  <si>
    <t>SNB-20</t>
  </si>
  <si>
    <t>SNB-37</t>
  </si>
  <si>
    <t>SNB-38</t>
  </si>
  <si>
    <r>
      <t>FC</t>
    </r>
    <r>
      <rPr>
        <b/>
        <vertAlign val="subscript"/>
        <sz val="10"/>
        <rFont val="Arial"/>
        <family val="2"/>
      </rPr>
      <t>3,18,i,2021</t>
    </r>
    <r>
      <rPr>
        <b/>
        <sz val="10"/>
        <rFont val="Arial"/>
        <family val="2"/>
      </rPr>
      <t>(%)</t>
    </r>
    <phoneticPr fontId="2" type="noConversion"/>
  </si>
  <si>
    <r>
      <t>BD</t>
    </r>
    <r>
      <rPr>
        <b/>
        <vertAlign val="subscript"/>
        <sz val="10"/>
        <rFont val="Arial"/>
        <family val="2"/>
      </rPr>
      <t>3,18,i,2021</t>
    </r>
    <r>
      <rPr>
        <b/>
        <sz val="10"/>
        <rFont val="Arial"/>
        <family val="2"/>
      </rPr>
      <t xml:space="preserve"> (g soil/cm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2" type="noConversion"/>
  </si>
  <si>
    <r>
      <t>SOC</t>
    </r>
    <r>
      <rPr>
        <b/>
        <vertAlign val="subscript"/>
        <sz val="10"/>
        <rFont val="Arial"/>
        <family val="2"/>
      </rPr>
      <t>3,18,i,2021</t>
    </r>
    <r>
      <rPr>
        <b/>
        <sz val="10"/>
        <rFont val="Arial"/>
        <family val="2"/>
      </rPr>
      <t>(g/kg)</t>
    </r>
    <phoneticPr fontId="2" type="noConversion"/>
  </si>
  <si>
    <r>
      <t>PSOC</t>
    </r>
    <r>
      <rPr>
        <b/>
        <vertAlign val="subscript"/>
        <sz val="10"/>
        <rFont val="Arial"/>
        <family val="2"/>
      </rPr>
      <t>3,18,i,2021</t>
    </r>
    <r>
      <rPr>
        <b/>
        <sz val="10"/>
        <rFont val="Arial"/>
        <family val="2"/>
      </rPr>
      <t>(tC/ha)</t>
    </r>
    <phoneticPr fontId="2" type="noConversion"/>
  </si>
  <si>
    <t>SDMCP-18</t>
  </si>
  <si>
    <t>SNP-18</t>
  </si>
  <si>
    <t>SNP-19</t>
  </si>
  <si>
    <t>SNP-20</t>
  </si>
  <si>
    <t>SNP-37</t>
  </si>
  <si>
    <t>SNP-38</t>
  </si>
  <si>
    <t>SDMC-18</t>
    <phoneticPr fontId="2" type="noConversion"/>
  </si>
  <si>
    <t>SN-18</t>
    <phoneticPr fontId="2" type="noConversion"/>
  </si>
  <si>
    <t>SN-19</t>
    <phoneticPr fontId="2" type="noConversion"/>
  </si>
  <si>
    <t>SN-20</t>
    <phoneticPr fontId="2" type="noConversion"/>
  </si>
  <si>
    <t>SN-37</t>
    <phoneticPr fontId="2" type="noConversion"/>
  </si>
  <si>
    <t>SN-38</t>
    <phoneticPr fontId="2" type="noConversion"/>
  </si>
  <si>
    <t>Strata 4</t>
  </si>
  <si>
    <t>Strata 5</t>
  </si>
  <si>
    <t>Strata 6</t>
  </si>
  <si>
    <t>Strata 7</t>
  </si>
  <si>
    <t>Strata 8</t>
  </si>
  <si>
    <t>Strata 9</t>
  </si>
  <si>
    <t>Strata 10</t>
  </si>
  <si>
    <t>Strata 11</t>
  </si>
  <si>
    <t>Strata 12</t>
  </si>
  <si>
    <t>Strata 13</t>
  </si>
  <si>
    <t>Strata 14</t>
  </si>
  <si>
    <t>Strata 15</t>
  </si>
  <si>
    <t>Strata 16</t>
  </si>
  <si>
    <t>Strata 17</t>
  </si>
  <si>
    <t>Strata 18</t>
  </si>
  <si>
    <r>
      <t>PA</t>
    </r>
    <r>
      <rPr>
        <b/>
        <vertAlign val="subscript"/>
        <sz val="10"/>
        <color theme="1"/>
        <rFont val="Arial"/>
        <family val="2"/>
      </rPr>
      <t>mG,S,2021</t>
    </r>
    <r>
      <rPr>
        <b/>
        <sz val="10"/>
        <color theme="1"/>
        <rFont val="Arial"/>
        <family val="2"/>
      </rPr>
      <t>(ha)</t>
    </r>
    <phoneticPr fontId="2" type="noConversion"/>
  </si>
  <si>
    <t>03</t>
    <phoneticPr fontId="2" type="noConversion"/>
  </si>
  <si>
    <t>2019 IPCC Refinement to the 2006 IPCC Guidelines for National Greenhouse Gas Inventories</t>
  </si>
  <si>
    <t>2019 IPCC Refinement to the 2006 IPCC Guidelines for National Greenhouse Gas Inventories</t>
    <phoneticPr fontId="2" type="noConversion"/>
  </si>
  <si>
    <t>2006 IPCC Guidelines for National Greenhouse Gas Inventories</t>
  </si>
  <si>
    <r>
      <t>LEGUI,</t>
    </r>
    <r>
      <rPr>
        <b/>
        <i/>
        <vertAlign val="subscript"/>
        <sz val="10"/>
        <color theme="1"/>
        <rFont val="Arial"/>
        <family val="2"/>
      </rPr>
      <t>N2OMD,t</t>
    </r>
    <phoneticPr fontId="2" type="noConversion"/>
  </si>
  <si>
    <t>VCS Standard (Version 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</si>
</sst>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76" formatCode="0_ "/>
    <numFmt numFmtId="177" formatCode="0.00_ "/>
    <numFmt numFmtId="178" formatCode="#,##0_ "/>
    <numFmt numFmtId="179" formatCode="#,##0_);[Red]\(#,##0\)"/>
    <numFmt numFmtId="180" formatCode="#,##0.00_);[Red]\(#,##0.00\)"/>
    <numFmt numFmtId="181" formatCode="0.00_);[Red]\(0.00\)"/>
    <numFmt numFmtId="182" formatCode="#,##0.00_ "/>
    <numFmt numFmtId="183" formatCode="[$-C09]dd\-mmmm\-yyyy;@"/>
    <numFmt numFmtId="184" formatCode="[$-13C09]d/m/yyyy;@"/>
    <numFmt numFmtId="185" formatCode="0.000000_ "/>
    <numFmt numFmtId="186" formatCode="0.000_ "/>
    <numFmt numFmtId="187" formatCode="0.0000"/>
    <numFmt numFmtId="188" formatCode="[$-C09]dd\-mmm\-yy;@"/>
  </numFmts>
  <fonts count="2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Times New Roman"/>
      <family val="1"/>
    </font>
    <font>
      <sz val="11"/>
      <name val="等线"/>
      <family val="3"/>
      <charset val="134"/>
    </font>
    <font>
      <sz val="10"/>
      <color theme="1"/>
      <name val="Arial"/>
      <family val="2"/>
    </font>
    <font>
      <sz val="10"/>
      <color rgb="FF3B3531"/>
      <name val="Arial"/>
      <family val="2"/>
    </font>
    <font>
      <i/>
      <sz val="10"/>
      <color theme="1"/>
      <name val="Arial"/>
      <family val="2"/>
    </font>
    <font>
      <i/>
      <vertAlign val="sub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b/>
      <sz val="10"/>
      <color theme="1"/>
      <name val="Arial"/>
      <family val="2"/>
    </font>
    <font>
      <vertAlign val="subscript"/>
      <sz val="10"/>
      <color rgb="FF3B3531"/>
      <name val="Arial"/>
      <family val="2"/>
    </font>
    <font>
      <b/>
      <vertAlign val="subscript"/>
      <sz val="10"/>
      <color theme="1"/>
      <name val="Arial"/>
      <family val="2"/>
    </font>
    <font>
      <sz val="11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i/>
      <vertAlign val="subscript"/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bscript"/>
      <sz val="10"/>
      <color rgb="FF00000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387C2B"/>
        <bgColor indexed="64"/>
      </patternFill>
    </fill>
    <fill>
      <patternFill patternType="solid">
        <fgColor rgb="FFCBE1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8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178" fontId="6" fillId="0" borderId="1" xfId="0" applyNumberFormat="1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182" fontId="6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0" fontId="19" fillId="0" borderId="1" xfId="1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80" fontId="19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15" fontId="6" fillId="3" borderId="15" xfId="0" applyNumberFormat="1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left" vertical="center"/>
    </xf>
    <xf numFmtId="0" fontId="27" fillId="2" borderId="17" xfId="0" applyFont="1" applyFill="1" applyBorder="1" applyAlignment="1">
      <alignment vertical="center"/>
    </xf>
    <xf numFmtId="0" fontId="27" fillId="2" borderId="19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left" vertical="center"/>
    </xf>
    <xf numFmtId="178" fontId="13" fillId="3" borderId="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3" fillId="0" borderId="0" xfId="0" applyFont="1"/>
    <xf numFmtId="0" fontId="20" fillId="0" borderId="0" xfId="0" applyFont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183" fontId="6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 vertical="center"/>
    </xf>
    <xf numFmtId="182" fontId="13" fillId="0" borderId="1" xfId="0" applyNumberFormat="1" applyFont="1" applyBorder="1" applyAlignment="1">
      <alignment horizontal="center" vertical="center"/>
    </xf>
    <xf numFmtId="181" fontId="1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4" fontId="6" fillId="0" borderId="1" xfId="0" applyNumberFormat="1" applyFont="1" applyBorder="1" applyAlignment="1">
      <alignment horizontal="center" vertical="center"/>
    </xf>
    <xf numFmtId="179" fontId="6" fillId="0" borderId="1" xfId="4" applyNumberFormat="1" applyFont="1" applyBorder="1" applyAlignment="1">
      <alignment horizontal="center" vertical="center"/>
    </xf>
    <xf numFmtId="179" fontId="13" fillId="0" borderId="1" xfId="4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85" fontId="6" fillId="0" borderId="1" xfId="0" applyNumberFormat="1" applyFont="1" applyBorder="1" applyAlignment="1">
      <alignment horizontal="center" vertical="center" wrapText="1"/>
    </xf>
    <xf numFmtId="186" fontId="6" fillId="0" borderId="1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80" fontId="1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80" fontId="19" fillId="0" borderId="0" xfId="0" applyNumberFormat="1" applyFont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87" fontId="19" fillId="0" borderId="1" xfId="0" applyNumberFormat="1" applyFont="1" applyBorder="1" applyAlignment="1">
      <alignment horizontal="center" vertical="center"/>
    </xf>
    <xf numFmtId="186" fontId="19" fillId="0" borderId="1" xfId="3" applyNumberFormat="1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187" fontId="6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7" fontId="6" fillId="0" borderId="0" xfId="0" applyNumberFormat="1" applyFont="1"/>
    <xf numFmtId="184" fontId="4" fillId="0" borderId="0" xfId="0" applyNumberFormat="1" applyFont="1" applyAlignment="1">
      <alignment horizontal="center" vertical="center"/>
    </xf>
    <xf numFmtId="188" fontId="6" fillId="3" borderId="13" xfId="0" applyNumberFormat="1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7">
    <cellStyle name="Comma 2" xfId="6" xr:uid="{E0CD4F47-4371-4E30-8E1D-2EC8D332E393}"/>
    <cellStyle name="百分比" xfId="1" builtinId="5"/>
    <cellStyle name="常规" xfId="0" builtinId="0"/>
    <cellStyle name="常规 2" xfId="2" xr:uid="{90E2B1CC-39C2-4B3F-BC4D-D9F669D5853A}"/>
    <cellStyle name="常规 3 2" xfId="3" xr:uid="{1D32DFBE-285E-4147-BA15-FE793C41EE52}"/>
    <cellStyle name="常规 4 2" xfId="5" xr:uid="{006CF70B-46FD-4E93-AD41-63E0C7C24A40}"/>
    <cellStyle name="千位分隔" xfId="4" builtinId="3"/>
  </cellStyles>
  <dxfs count="0"/>
  <tableStyles count="0" defaultTableStyle="TableStyleMedium2" defaultPivotStyle="PivotStyleLight16"/>
  <colors>
    <mruColors>
      <color rgb="FFCBE1C3"/>
      <color rgb="FF387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223658</xdr:colOff>
      <xdr:row>25</xdr:row>
      <xdr:rowOff>76200</xdr:rowOff>
    </xdr:from>
    <xdr:to>
      <xdr:col>4</xdr:col>
      <xdr:colOff>1240619</xdr:colOff>
      <xdr:row>27</xdr:row>
      <xdr:rowOff>68580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63E9EF5-1DD8-EDF6-5203-59F448332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258" y="4823460"/>
          <a:ext cx="2861001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32</xdr:row>
      <xdr:rowOff>152400</xdr:rowOff>
    </xdr:from>
    <xdr:to>
      <xdr:col>4</xdr:col>
      <xdr:colOff>198120</xdr:colOff>
      <xdr:row>33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10BE1E-5601-E74C-1442-9EB91F1B3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6111240"/>
          <a:ext cx="19507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91440</xdr:colOff>
      <xdr:row>36</xdr:row>
      <xdr:rowOff>152400</xdr:rowOff>
    </xdr:from>
    <xdr:to>
      <xdr:col>4</xdr:col>
      <xdr:colOff>1097280</xdr:colOff>
      <xdr:row>37</xdr:row>
      <xdr:rowOff>160020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2E1119A-F7E2-FE97-A565-072A922A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6812280"/>
          <a:ext cx="28498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</xdr:colOff>
      <xdr:row>43</xdr:row>
      <xdr:rowOff>7620</xdr:rowOff>
    </xdr:from>
    <xdr:to>
      <xdr:col>4</xdr:col>
      <xdr:colOff>906780</xdr:colOff>
      <xdr:row>45</xdr:row>
      <xdr:rowOff>83820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3C24015-EDD0-19D6-CC72-7F356BE43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7901940"/>
          <a:ext cx="26212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1203960</xdr:colOff>
      <xdr:row>44</xdr:row>
      <xdr:rowOff>144780</xdr:rowOff>
    </xdr:from>
    <xdr:to>
      <xdr:col>5</xdr:col>
      <xdr:colOff>2278380</xdr:colOff>
      <xdr:row>46</xdr:row>
      <xdr:rowOff>144780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CBEE855-4730-94C1-E47C-9D60B843E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206740"/>
          <a:ext cx="34671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46</xdr:row>
      <xdr:rowOff>99060</xdr:rowOff>
    </xdr:from>
    <xdr:to>
      <xdr:col>4</xdr:col>
      <xdr:colOff>914400</xdr:colOff>
      <xdr:row>47</xdr:row>
      <xdr:rowOff>106680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FEFB725-F90E-BAB2-79BB-D7B06000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8496300"/>
          <a:ext cx="26517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49</xdr:row>
      <xdr:rowOff>167640</xdr:rowOff>
    </xdr:from>
    <xdr:to>
      <xdr:col>4</xdr:col>
      <xdr:colOff>1371600</xdr:colOff>
      <xdr:row>52</xdr:row>
      <xdr:rowOff>60960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437AFEE-64DA-0D9B-D9D9-BAAB990B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9585960"/>
          <a:ext cx="3101340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160020</xdr:colOff>
      <xdr:row>58</xdr:row>
      <xdr:rowOff>22860</xdr:rowOff>
    </xdr:from>
    <xdr:to>
      <xdr:col>4</xdr:col>
      <xdr:colOff>1341120</xdr:colOff>
      <xdr:row>60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3EC4036-72F3-8385-C695-1E92514F3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10698480"/>
          <a:ext cx="30251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29</xdr:row>
      <xdr:rowOff>30480</xdr:rowOff>
    </xdr:from>
    <xdr:to>
      <xdr:col>5</xdr:col>
      <xdr:colOff>388620</xdr:colOff>
      <xdr:row>31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DEA9CC8-2801-2C79-AC55-296F980D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4945380"/>
          <a:ext cx="25298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251460</xdr:colOff>
      <xdr:row>41</xdr:row>
      <xdr:rowOff>129540</xdr:rowOff>
    </xdr:from>
    <xdr:to>
      <xdr:col>6</xdr:col>
      <xdr:colOff>190500</xdr:colOff>
      <xdr:row>42</xdr:row>
      <xdr:rowOff>137160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90BB7AC-1349-9D77-8B0C-13B8F1058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7162800"/>
          <a:ext cx="27965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37</xdr:row>
      <xdr:rowOff>160020</xdr:rowOff>
    </xdr:from>
    <xdr:to>
      <xdr:col>4</xdr:col>
      <xdr:colOff>388620</xdr:colOff>
      <xdr:row>39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C2DAC12-98FD-4D31-9002-D32292CD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6492240"/>
          <a:ext cx="18973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220980</xdr:colOff>
      <xdr:row>49</xdr:row>
      <xdr:rowOff>60960</xdr:rowOff>
    </xdr:from>
    <xdr:to>
      <xdr:col>5</xdr:col>
      <xdr:colOff>495300</xdr:colOff>
      <xdr:row>51</xdr:row>
      <xdr:rowOff>129540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90722E-16B5-D929-8ADD-BC8FDDF0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090660"/>
          <a:ext cx="259080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51</xdr:row>
      <xdr:rowOff>167640</xdr:rowOff>
    </xdr:from>
    <xdr:to>
      <xdr:col>5</xdr:col>
      <xdr:colOff>441960</xdr:colOff>
      <xdr:row>54</xdr:row>
      <xdr:rowOff>68580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3571F23-7E92-FA0E-5A94-1FF0F8C2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9532620"/>
          <a:ext cx="252984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205740</xdr:colOff>
      <xdr:row>50</xdr:row>
      <xdr:rowOff>121920</xdr:rowOff>
    </xdr:from>
    <xdr:to>
      <xdr:col>10</xdr:col>
      <xdr:colOff>495300</xdr:colOff>
      <xdr:row>52</xdr:row>
      <xdr:rowOff>68580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131F44F-934F-3415-C1DD-AC3B4AFC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1360" y="9806940"/>
          <a:ext cx="3413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205740</xdr:colOff>
      <xdr:row>56</xdr:row>
      <xdr:rowOff>15240</xdr:rowOff>
    </xdr:from>
    <xdr:to>
      <xdr:col>6</xdr:col>
      <xdr:colOff>411480</xdr:colOff>
      <xdr:row>58</xdr:row>
      <xdr:rowOff>91440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081E07A-1917-820B-E6D2-96F49D30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9852660"/>
          <a:ext cx="306324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204894</xdr:colOff>
      <xdr:row>65</xdr:row>
      <xdr:rowOff>74506</xdr:rowOff>
    </xdr:from>
    <xdr:to>
      <xdr:col>6</xdr:col>
      <xdr:colOff>311574</xdr:colOff>
      <xdr:row>67</xdr:row>
      <xdr:rowOff>49952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C058DBA-9859-9183-D06F-8D7AE34C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27" y="12545906"/>
          <a:ext cx="2968414" cy="314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165947</xdr:colOff>
      <xdr:row>73</xdr:row>
      <xdr:rowOff>33020</xdr:rowOff>
    </xdr:from>
    <xdr:to>
      <xdr:col>6</xdr:col>
      <xdr:colOff>21167</xdr:colOff>
      <xdr:row>75</xdr:row>
      <xdr:rowOff>33020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A455BA2-DCBA-E147-204D-FA635AAB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4079220"/>
          <a:ext cx="2716954" cy="33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38</xdr:row>
      <xdr:rowOff>60960</xdr:rowOff>
    </xdr:from>
    <xdr:to>
      <xdr:col>6</xdr:col>
      <xdr:colOff>320040</xdr:colOff>
      <xdr:row>40</xdr:row>
      <xdr:rowOff>30480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E7A5A88-E76B-35F3-04F2-5E8252E9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577840"/>
          <a:ext cx="3048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46</xdr:row>
      <xdr:rowOff>144780</xdr:rowOff>
    </xdr:from>
    <xdr:to>
      <xdr:col>5</xdr:col>
      <xdr:colOff>15240</xdr:colOff>
      <xdr:row>47</xdr:row>
      <xdr:rowOff>152400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55AAA95-91A0-72D3-C3CC-EA089091A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071360"/>
          <a:ext cx="21869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121920</xdr:colOff>
      <xdr:row>50</xdr:row>
      <xdr:rowOff>137160</xdr:rowOff>
    </xdr:from>
    <xdr:to>
      <xdr:col>6</xdr:col>
      <xdr:colOff>525780</xdr:colOff>
      <xdr:row>51</xdr:row>
      <xdr:rowOff>144780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F14399D-3177-4EEE-BEE4-152D16BF6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7764780"/>
          <a:ext cx="32613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186914</xdr:colOff>
      <xdr:row>58</xdr:row>
      <xdr:rowOff>112133</xdr:rowOff>
    </xdr:from>
    <xdr:to>
      <xdr:col>6</xdr:col>
      <xdr:colOff>186914</xdr:colOff>
      <xdr:row>60</xdr:row>
      <xdr:rowOff>68953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DB90E9F-1B14-96D7-23AD-1D41AF51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032" y="11149927"/>
          <a:ext cx="3249706" cy="27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61</xdr:row>
      <xdr:rowOff>7620</xdr:rowOff>
    </xdr:from>
    <xdr:to>
      <xdr:col>6</xdr:col>
      <xdr:colOff>22860</xdr:colOff>
      <xdr:row>62</xdr:row>
      <xdr:rowOff>45720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B0ED60D-07EC-A1D2-6626-0EF4D6EE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555480"/>
          <a:ext cx="27051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480060</xdr:colOff>
      <xdr:row>59</xdr:row>
      <xdr:rowOff>99060</xdr:rowOff>
    </xdr:from>
    <xdr:to>
      <xdr:col>10</xdr:col>
      <xdr:colOff>1066800</xdr:colOff>
      <xdr:row>61</xdr:row>
      <xdr:rowOff>60960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B7944CF-65A7-0AD9-672E-54F3F3DE3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5680" y="9128760"/>
          <a:ext cx="405384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</xdr:colOff>
      <xdr:row>74</xdr:row>
      <xdr:rowOff>121920</xdr:rowOff>
    </xdr:from>
    <xdr:to>
      <xdr:col>7</xdr:col>
      <xdr:colOff>480060</xdr:colOff>
      <xdr:row>76</xdr:row>
      <xdr:rowOff>91440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4614EAC-4B5A-0067-50EE-BCB99E74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153900"/>
          <a:ext cx="36957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65</xdr:row>
      <xdr:rowOff>111865</xdr:rowOff>
    </xdr:from>
    <xdr:to>
      <xdr:col>6</xdr:col>
      <xdr:colOff>335280</xdr:colOff>
      <xdr:row>67</xdr:row>
      <xdr:rowOff>90762</xdr:rowOff>
    </xdr:to>
    <xdr:pic>
      <xdr:nvPicPr>
        <xdr:cNvPr id="18" name="图片 6">
          <a:extLst>
            <a:ext uri="{FF2B5EF4-FFF2-40B4-BE49-F238E27FC236}">
              <a16:creationId xmlns:a16="http://schemas.microsoft.com/office/drawing/2014/main" id="{614354D6-CB32-4460-A923-5E4EF707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0505545"/>
          <a:ext cx="3040380" cy="31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220980</xdr:colOff>
      <xdr:row>29</xdr:row>
      <xdr:rowOff>53340</xdr:rowOff>
    </xdr:from>
    <xdr:to>
      <xdr:col>3</xdr:col>
      <xdr:colOff>327660</xdr:colOff>
      <xdr:row>31</xdr:row>
      <xdr:rowOff>38100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32476D5-4932-0690-7E61-E0306408D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249900"/>
          <a:ext cx="13411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464820</xdr:colOff>
      <xdr:row>29</xdr:row>
      <xdr:rowOff>76200</xdr:rowOff>
    </xdr:from>
    <xdr:to>
      <xdr:col>9</xdr:col>
      <xdr:colOff>342900</xdr:colOff>
      <xdr:row>31</xdr:row>
      <xdr:rowOff>53340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C57D3F-7B60-0BCE-78D8-550C394A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272760"/>
          <a:ext cx="27203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2E78-5C63-4D47-85E5-FC72C9E19A36}">
  <dimension ref="B1:J21"/>
  <sheetViews>
    <sheetView showGridLines="0" topLeftCell="A12" zoomScaleNormal="100" workbookViewId="0">
      <selection activeCell="D13" sqref="D13:J18"/>
    </sheetView>
  </sheetViews>
  <sheetFormatPr defaultColWidth="8.9140625" defaultRowHeight="12.5" x14ac:dyDescent="0.3"/>
  <cols>
    <col min="1" max="1" width="8.9140625" style="2"/>
    <col min="2" max="3" width="17.4140625" style="2" customWidth="1"/>
    <col min="4" max="4" width="13.25" style="2" customWidth="1"/>
    <col min="5" max="6" width="11.4140625" style="2" customWidth="1"/>
    <col min="7" max="7" width="11.25" style="2" customWidth="1"/>
    <col min="8" max="8" width="16.4140625" style="2" customWidth="1"/>
    <col min="9" max="9" width="11.08203125" style="2" customWidth="1"/>
    <col min="10" max="10" width="11.4140625" style="2" customWidth="1"/>
    <col min="11" max="16384" width="8.9140625" style="2"/>
  </cols>
  <sheetData>
    <row r="1" spans="2:10" ht="13" thickBot="1" x14ac:dyDescent="0.35"/>
    <row r="2" spans="2:10" ht="13" x14ac:dyDescent="0.3">
      <c r="B2" s="44" t="s">
        <v>102</v>
      </c>
      <c r="C2" s="37" t="s">
        <v>159</v>
      </c>
      <c r="D2" s="38"/>
      <c r="E2" s="38"/>
      <c r="F2" s="38"/>
      <c r="G2" s="38"/>
      <c r="H2" s="38"/>
      <c r="I2" s="38"/>
      <c r="J2" s="39"/>
    </row>
    <row r="3" spans="2:10" ht="14" customHeight="1" x14ac:dyDescent="0.3">
      <c r="B3" s="45" t="s">
        <v>41</v>
      </c>
      <c r="C3" s="35" t="s">
        <v>160</v>
      </c>
      <c r="D3" s="36"/>
      <c r="E3" s="36"/>
      <c r="F3" s="36"/>
      <c r="G3" s="36"/>
      <c r="H3" s="36"/>
      <c r="I3" s="36"/>
      <c r="J3" s="40"/>
    </row>
    <row r="4" spans="2:10" ht="13" x14ac:dyDescent="0.3">
      <c r="B4" s="45" t="s">
        <v>100</v>
      </c>
      <c r="C4" s="96">
        <v>44822</v>
      </c>
      <c r="D4" s="36"/>
      <c r="E4" s="36"/>
      <c r="F4" s="36"/>
      <c r="G4" s="36"/>
      <c r="H4" s="36"/>
      <c r="I4" s="36"/>
      <c r="J4" s="40"/>
    </row>
    <row r="5" spans="2:10" ht="13" x14ac:dyDescent="0.3">
      <c r="B5" s="45" t="s">
        <v>101</v>
      </c>
      <c r="C5" s="50" t="s">
        <v>679</v>
      </c>
      <c r="D5" s="36"/>
      <c r="E5" s="36"/>
      <c r="F5" s="36"/>
      <c r="G5" s="36"/>
      <c r="H5" s="36"/>
      <c r="I5" s="36"/>
      <c r="J5" s="40"/>
    </row>
    <row r="6" spans="2:10" ht="13" x14ac:dyDescent="0.3">
      <c r="B6" s="45" t="s">
        <v>122</v>
      </c>
      <c r="C6" s="35" t="s">
        <v>161</v>
      </c>
      <c r="D6" s="36"/>
      <c r="E6" s="36"/>
      <c r="F6" s="36"/>
      <c r="G6" s="36"/>
      <c r="H6" s="36"/>
      <c r="I6" s="36"/>
      <c r="J6" s="40"/>
    </row>
    <row r="7" spans="2:10" ht="13" x14ac:dyDescent="0.3">
      <c r="B7" s="45" t="s">
        <v>104</v>
      </c>
      <c r="C7" s="35" t="s">
        <v>103</v>
      </c>
      <c r="D7" s="36"/>
      <c r="E7" s="36"/>
      <c r="F7" s="36"/>
      <c r="G7" s="36"/>
      <c r="H7" s="36"/>
      <c r="I7" s="36"/>
      <c r="J7" s="40"/>
    </row>
    <row r="8" spans="2:10" ht="13" x14ac:dyDescent="0.3">
      <c r="B8" s="45" t="s">
        <v>105</v>
      </c>
      <c r="C8" s="35" t="s">
        <v>162</v>
      </c>
      <c r="D8" s="36"/>
      <c r="E8" s="36"/>
      <c r="F8" s="36"/>
      <c r="G8" s="36"/>
      <c r="H8" s="36"/>
      <c r="I8" s="36"/>
      <c r="J8" s="40"/>
    </row>
    <row r="9" spans="2:10" ht="13.5" thickBot="1" x14ac:dyDescent="0.35">
      <c r="B9" s="46" t="s">
        <v>106</v>
      </c>
      <c r="C9" s="41" t="s">
        <v>163</v>
      </c>
      <c r="D9" s="42"/>
      <c r="E9" s="42"/>
      <c r="F9" s="42"/>
      <c r="G9" s="42"/>
      <c r="H9" s="42"/>
      <c r="I9" s="42"/>
      <c r="J9" s="43"/>
    </row>
    <row r="11" spans="2:10" ht="15" x14ac:dyDescent="0.3">
      <c r="B11" s="97" t="s">
        <v>17</v>
      </c>
      <c r="C11" s="98"/>
      <c r="D11" s="48" t="s">
        <v>107</v>
      </c>
      <c r="E11" s="48" t="s">
        <v>108</v>
      </c>
      <c r="F11" s="48" t="s">
        <v>110</v>
      </c>
      <c r="G11" s="48" t="s">
        <v>127</v>
      </c>
      <c r="H11" s="48" t="s">
        <v>109</v>
      </c>
      <c r="I11" s="48" t="s">
        <v>111</v>
      </c>
      <c r="J11" s="48" t="s">
        <v>112</v>
      </c>
    </row>
    <row r="12" spans="2:10" ht="15" x14ac:dyDescent="0.3">
      <c r="B12" s="47" t="s">
        <v>123</v>
      </c>
      <c r="C12" s="47" t="s">
        <v>124</v>
      </c>
      <c r="D12" s="49" t="s">
        <v>64</v>
      </c>
      <c r="E12" s="49" t="s">
        <v>64</v>
      </c>
      <c r="F12" s="49" t="s">
        <v>64</v>
      </c>
      <c r="G12" s="49" t="s">
        <v>64</v>
      </c>
      <c r="H12" s="49" t="s">
        <v>64</v>
      </c>
      <c r="I12" s="49" t="s">
        <v>64</v>
      </c>
      <c r="J12" s="49" t="s">
        <v>64</v>
      </c>
    </row>
    <row r="13" spans="2:10" x14ac:dyDescent="0.3">
      <c r="B13" s="58">
        <v>42941</v>
      </c>
      <c r="C13" s="58">
        <v>43100</v>
      </c>
      <c r="D13" s="13">
        <f>'Baseline Emission'!M4</f>
        <v>64026</v>
      </c>
      <c r="E13" s="13">
        <f>'Project Emission'!S4</f>
        <v>53659</v>
      </c>
      <c r="F13" s="13">
        <f>'Leakage Emission'!R4</f>
        <v>11214</v>
      </c>
      <c r="G13" s="66">
        <f>'Project Removal'!E26</f>
        <v>263969</v>
      </c>
      <c r="H13" s="13">
        <f>D13-E13-F13+G13</f>
        <v>263122</v>
      </c>
      <c r="I13" s="13">
        <f>ROUND(G13*10%,0)</f>
        <v>26397</v>
      </c>
      <c r="J13" s="13">
        <f>H13-I13</f>
        <v>236725</v>
      </c>
    </row>
    <row r="14" spans="2:10" x14ac:dyDescent="0.3">
      <c r="B14" s="58">
        <v>43101</v>
      </c>
      <c r="C14" s="58">
        <v>43465</v>
      </c>
      <c r="D14" s="13">
        <f>'Baseline Emission'!M5</f>
        <v>146059</v>
      </c>
      <c r="E14" s="13">
        <f>'Project Emission'!S5</f>
        <v>73234</v>
      </c>
      <c r="F14" s="13">
        <f>'Leakage Emission'!R5</f>
        <v>60835</v>
      </c>
      <c r="G14" s="66">
        <f>'Project Removal'!E27</f>
        <v>602179</v>
      </c>
      <c r="H14" s="13">
        <f>D14-E14-F14+G14</f>
        <v>614169</v>
      </c>
      <c r="I14" s="13">
        <f t="shared" ref="I14:I17" si="0">ROUND(G14*10%,0)</f>
        <v>60218</v>
      </c>
      <c r="J14" s="13">
        <f t="shared" ref="J14:J17" si="1">H14-I14</f>
        <v>553951</v>
      </c>
    </row>
    <row r="15" spans="2:10" x14ac:dyDescent="0.3">
      <c r="B15" s="58">
        <v>43466</v>
      </c>
      <c r="C15" s="58">
        <v>43830</v>
      </c>
      <c r="D15" s="13">
        <f>'Baseline Emission'!M6</f>
        <v>146059</v>
      </c>
      <c r="E15" s="13">
        <f>'Project Emission'!S6</f>
        <v>39557</v>
      </c>
      <c r="F15" s="13">
        <f>'Leakage Emission'!R6</f>
        <v>93948</v>
      </c>
      <c r="G15" s="66">
        <f>'Project Removal'!E28</f>
        <v>602179</v>
      </c>
      <c r="H15" s="13">
        <f>D15-E15-F15+G15</f>
        <v>614733</v>
      </c>
      <c r="I15" s="13">
        <f t="shared" si="0"/>
        <v>60218</v>
      </c>
      <c r="J15" s="13">
        <f t="shared" si="1"/>
        <v>554515</v>
      </c>
    </row>
    <row r="16" spans="2:10" x14ac:dyDescent="0.3">
      <c r="B16" s="58">
        <v>43831</v>
      </c>
      <c r="C16" s="58">
        <v>44196</v>
      </c>
      <c r="D16" s="13">
        <f>'Baseline Emission'!M7</f>
        <v>146460</v>
      </c>
      <c r="E16" s="13">
        <f>'Project Emission'!S7</f>
        <v>38352</v>
      </c>
      <c r="F16" s="13">
        <f>'Leakage Emission'!R7</f>
        <v>93948</v>
      </c>
      <c r="G16" s="66">
        <f>'Project Removal'!E29</f>
        <v>603828</v>
      </c>
      <c r="H16" s="13">
        <f>D16-E16-F16+G16</f>
        <v>617988</v>
      </c>
      <c r="I16" s="13">
        <f>ROUNDDOWN(G16*10%,0)</f>
        <v>60382</v>
      </c>
      <c r="J16" s="13">
        <f t="shared" si="1"/>
        <v>557606</v>
      </c>
    </row>
    <row r="17" spans="2:10" x14ac:dyDescent="0.3">
      <c r="B17" s="58">
        <v>44197</v>
      </c>
      <c r="C17" s="58">
        <v>44561</v>
      </c>
      <c r="D17" s="13">
        <f>'Baseline Emission'!M8</f>
        <v>146059</v>
      </c>
      <c r="E17" s="13">
        <f>'Project Emission'!S8</f>
        <v>38352</v>
      </c>
      <c r="F17" s="13">
        <f>'Leakage Emission'!R8</f>
        <v>93948</v>
      </c>
      <c r="G17" s="66">
        <f>'Project Removal'!E30</f>
        <v>602179</v>
      </c>
      <c r="H17" s="13">
        <f>D17-E17-F17+G17</f>
        <v>615938</v>
      </c>
      <c r="I17" s="13">
        <f t="shared" si="0"/>
        <v>60218</v>
      </c>
      <c r="J17" s="13">
        <f t="shared" si="1"/>
        <v>555720</v>
      </c>
    </row>
    <row r="18" spans="2:10" ht="13" x14ac:dyDescent="0.3">
      <c r="B18" s="47" t="s">
        <v>16</v>
      </c>
      <c r="C18" s="47"/>
      <c r="D18" s="51">
        <f t="shared" ref="D18:J18" si="2">SUM(D13:D17)</f>
        <v>648663</v>
      </c>
      <c r="E18" s="51">
        <f t="shared" si="2"/>
        <v>243154</v>
      </c>
      <c r="F18" s="51">
        <f t="shared" si="2"/>
        <v>353893</v>
      </c>
      <c r="G18" s="51">
        <f t="shared" si="2"/>
        <v>2674334</v>
      </c>
      <c r="H18" s="51">
        <f t="shared" si="2"/>
        <v>2725950</v>
      </c>
      <c r="I18" s="51">
        <f t="shared" si="2"/>
        <v>267433</v>
      </c>
      <c r="J18" s="51">
        <f t="shared" si="2"/>
        <v>2458517</v>
      </c>
    </row>
    <row r="19" spans="2:10" ht="13" x14ac:dyDescent="0.3">
      <c r="B19" s="47" t="s">
        <v>42</v>
      </c>
      <c r="C19" s="47"/>
      <c r="D19" s="51">
        <f>AVERAGE(D13:D17)</f>
        <v>129732.6</v>
      </c>
      <c r="E19" s="51">
        <f t="shared" ref="E19:J19" si="3">AVERAGE(E13:E17)</f>
        <v>48630.8</v>
      </c>
      <c r="F19" s="51">
        <f t="shared" si="3"/>
        <v>70778.600000000006</v>
      </c>
      <c r="G19" s="51">
        <f>AVERAGE(G13:G17)</f>
        <v>534866.80000000005</v>
      </c>
      <c r="H19" s="51">
        <f t="shared" si="3"/>
        <v>545190</v>
      </c>
      <c r="I19" s="51">
        <f t="shared" si="3"/>
        <v>53486.6</v>
      </c>
      <c r="J19" s="51">
        <f t="shared" si="3"/>
        <v>491703.4</v>
      </c>
    </row>
    <row r="20" spans="2:10" x14ac:dyDescent="0.3">
      <c r="F20" s="4"/>
      <c r="H20" s="5"/>
    </row>
    <row r="21" spans="2:10" x14ac:dyDescent="0.3">
      <c r="H21" s="5"/>
    </row>
  </sheetData>
  <mergeCells count="1">
    <mergeCell ref="B11:C11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0B8E-2A64-4D07-A442-93DD044DFDAC}">
  <dimension ref="B2:O27"/>
  <sheetViews>
    <sheetView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263</v>
      </c>
      <c r="D2" s="91" t="s">
        <v>264</v>
      </c>
      <c r="E2" s="91" t="s">
        <v>34</v>
      </c>
      <c r="F2" s="91" t="s">
        <v>265</v>
      </c>
      <c r="G2" s="91" t="s">
        <v>96</v>
      </c>
      <c r="H2" s="91" t="s">
        <v>266</v>
      </c>
      <c r="I2" s="85" t="s">
        <v>98</v>
      </c>
    </row>
    <row r="3" spans="2:15" ht="13.25" customHeight="1" x14ac:dyDescent="0.3">
      <c r="B3" s="26" t="s">
        <v>267</v>
      </c>
      <c r="C3" s="27">
        <v>0.23089999999999999</v>
      </c>
      <c r="D3" s="28">
        <v>1.07</v>
      </c>
      <c r="E3" s="28">
        <v>39.590000000000003</v>
      </c>
      <c r="F3" s="29">
        <f>E3/1.724</f>
        <v>22.964037122969838</v>
      </c>
      <c r="G3" s="30">
        <v>30</v>
      </c>
      <c r="H3" s="31">
        <f>ROUND(F3*D3*G3*(1-C3)*0.1,2)</f>
        <v>56.69</v>
      </c>
      <c r="I3" s="118" t="s">
        <v>99</v>
      </c>
      <c r="K3" s="25"/>
    </row>
    <row r="4" spans="2:15" x14ac:dyDescent="0.3">
      <c r="B4" s="26" t="s">
        <v>268</v>
      </c>
      <c r="C4" s="27">
        <v>0.23269999999999999</v>
      </c>
      <c r="D4" s="28">
        <v>0.95</v>
      </c>
      <c r="E4" s="28">
        <v>40.21</v>
      </c>
      <c r="F4" s="29">
        <f t="shared" ref="F4:F8" si="0">E4/1.724</f>
        <v>23.323665893271464</v>
      </c>
      <c r="G4" s="30">
        <v>30</v>
      </c>
      <c r="H4" s="31">
        <f t="shared" ref="H4:H8" si="1">ROUND(F4*D4*G4*(1-C4)*0.1,2)</f>
        <v>51</v>
      </c>
      <c r="I4" s="119"/>
      <c r="K4" s="25"/>
    </row>
    <row r="5" spans="2:15" x14ac:dyDescent="0.3">
      <c r="B5" s="26" t="s">
        <v>269</v>
      </c>
      <c r="C5" s="27">
        <v>0.2999</v>
      </c>
      <c r="D5" s="28">
        <v>0.94</v>
      </c>
      <c r="E5" s="28">
        <v>34.479999999999997</v>
      </c>
      <c r="F5" s="29">
        <f t="shared" si="0"/>
        <v>20</v>
      </c>
      <c r="G5" s="30">
        <v>30</v>
      </c>
      <c r="H5" s="31">
        <f t="shared" si="1"/>
        <v>39.49</v>
      </c>
      <c r="I5" s="119"/>
      <c r="K5" s="25"/>
    </row>
    <row r="6" spans="2:15" x14ac:dyDescent="0.3">
      <c r="B6" s="26" t="s">
        <v>270</v>
      </c>
      <c r="C6" s="27">
        <v>0.26140000000000002</v>
      </c>
      <c r="D6" s="28">
        <v>1.07</v>
      </c>
      <c r="E6" s="28">
        <v>50.35</v>
      </c>
      <c r="F6" s="29">
        <f t="shared" si="0"/>
        <v>29.205336426914155</v>
      </c>
      <c r="G6" s="30">
        <v>30</v>
      </c>
      <c r="H6" s="31">
        <f t="shared" si="1"/>
        <v>69.239999999999995</v>
      </c>
      <c r="I6" s="119"/>
      <c r="K6" s="25"/>
    </row>
    <row r="7" spans="2:15" x14ac:dyDescent="0.3">
      <c r="B7" s="26" t="s">
        <v>271</v>
      </c>
      <c r="C7" s="27">
        <v>0.22689999999999999</v>
      </c>
      <c r="D7" s="28">
        <v>1.03</v>
      </c>
      <c r="E7" s="28">
        <v>23.48</v>
      </c>
      <c r="F7" s="29">
        <f t="shared" si="0"/>
        <v>13.619489559164734</v>
      </c>
      <c r="G7" s="30">
        <v>30</v>
      </c>
      <c r="H7" s="31">
        <f t="shared" si="1"/>
        <v>32.54</v>
      </c>
      <c r="I7" s="119"/>
      <c r="K7" s="25"/>
    </row>
    <row r="8" spans="2:15" x14ac:dyDescent="0.3">
      <c r="B8" s="26" t="s">
        <v>272</v>
      </c>
      <c r="C8" s="27">
        <v>0.33339999999999997</v>
      </c>
      <c r="D8" s="28">
        <v>0.96</v>
      </c>
      <c r="E8" s="28">
        <v>10.27</v>
      </c>
      <c r="F8" s="29">
        <f t="shared" si="0"/>
        <v>5.9570765661252896</v>
      </c>
      <c r="G8" s="30">
        <v>30</v>
      </c>
      <c r="H8" s="31">
        <f t="shared" si="1"/>
        <v>11.44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273</v>
      </c>
      <c r="D10" s="91" t="s">
        <v>274</v>
      </c>
      <c r="E10" s="91" t="s">
        <v>34</v>
      </c>
      <c r="F10" s="91" t="s">
        <v>275</v>
      </c>
      <c r="G10" s="91" t="s">
        <v>96</v>
      </c>
      <c r="H10" s="91" t="s">
        <v>276</v>
      </c>
      <c r="I10" s="85" t="s">
        <v>98</v>
      </c>
    </row>
    <row r="11" spans="2:15" ht="14.4" customHeight="1" x14ac:dyDescent="0.3">
      <c r="B11" s="26" t="s">
        <v>277</v>
      </c>
      <c r="C11" s="27">
        <v>0.2011</v>
      </c>
      <c r="D11" s="28">
        <v>1.06</v>
      </c>
      <c r="E11" s="28">
        <v>41.64</v>
      </c>
      <c r="F11" s="29">
        <f t="shared" ref="F11:F16" si="2">E11/1.724</f>
        <v>24.153132250580047</v>
      </c>
      <c r="G11" s="30">
        <v>30</v>
      </c>
      <c r="H11" s="31">
        <f>ROUND(F11*D11*G11*(1-C11)*0.1,2)</f>
        <v>61.36</v>
      </c>
      <c r="I11" s="118" t="s">
        <v>99</v>
      </c>
    </row>
    <row r="12" spans="2:15" x14ac:dyDescent="0.3">
      <c r="B12" s="26" t="s">
        <v>278</v>
      </c>
      <c r="C12" s="27">
        <v>0.20200000000000001</v>
      </c>
      <c r="D12" s="28">
        <v>0.98</v>
      </c>
      <c r="E12" s="28">
        <v>43.33</v>
      </c>
      <c r="F12" s="29">
        <f t="shared" si="2"/>
        <v>25.133410672853827</v>
      </c>
      <c r="G12" s="30">
        <v>30</v>
      </c>
      <c r="H12" s="31">
        <f t="shared" ref="H12:H16" si="3">ROUND(F12*D12*G12*(1-C12)*0.1,2)</f>
        <v>58.97</v>
      </c>
      <c r="I12" s="119"/>
    </row>
    <row r="13" spans="2:15" x14ac:dyDescent="0.3">
      <c r="B13" s="26" t="s">
        <v>279</v>
      </c>
      <c r="C13" s="27">
        <v>0.16289999999999999</v>
      </c>
      <c r="D13" s="26">
        <v>0.89</v>
      </c>
      <c r="E13" s="26">
        <v>35.520000000000003</v>
      </c>
      <c r="F13" s="29">
        <f t="shared" si="2"/>
        <v>20.603248259860791</v>
      </c>
      <c r="G13" s="30">
        <v>30</v>
      </c>
      <c r="H13" s="31">
        <f t="shared" si="3"/>
        <v>46.05</v>
      </c>
      <c r="I13" s="119"/>
    </row>
    <row r="14" spans="2:15" x14ac:dyDescent="0.3">
      <c r="B14" s="26" t="s">
        <v>280</v>
      </c>
      <c r="C14" s="27">
        <v>0.27729999999999999</v>
      </c>
      <c r="D14" s="26">
        <v>1.17</v>
      </c>
      <c r="E14" s="26">
        <v>52.54</v>
      </c>
      <c r="F14" s="29">
        <f t="shared" si="2"/>
        <v>30.475638051044083</v>
      </c>
      <c r="G14" s="30">
        <v>30</v>
      </c>
      <c r="H14" s="31">
        <f t="shared" si="3"/>
        <v>77.31</v>
      </c>
      <c r="I14" s="119"/>
    </row>
    <row r="15" spans="2:15" x14ac:dyDescent="0.3">
      <c r="B15" s="26" t="s">
        <v>281</v>
      </c>
      <c r="C15" s="27">
        <v>0.22040000000000001</v>
      </c>
      <c r="D15" s="28">
        <v>0.91</v>
      </c>
      <c r="E15" s="28">
        <v>24.43</v>
      </c>
      <c r="F15" s="29">
        <f t="shared" si="2"/>
        <v>14.170533642691415</v>
      </c>
      <c r="G15" s="30">
        <v>30</v>
      </c>
      <c r="H15" s="31">
        <f t="shared" si="3"/>
        <v>30.16</v>
      </c>
      <c r="I15" s="119"/>
    </row>
    <row r="16" spans="2:15" x14ac:dyDescent="0.3">
      <c r="B16" s="26" t="s">
        <v>282</v>
      </c>
      <c r="C16" s="27">
        <v>0.31540000000000001</v>
      </c>
      <c r="D16" s="26">
        <v>0.88</v>
      </c>
      <c r="E16" s="26">
        <v>11.37</v>
      </c>
      <c r="F16" s="29">
        <f t="shared" si="2"/>
        <v>6.5951276102088165</v>
      </c>
      <c r="G16" s="30">
        <v>30</v>
      </c>
      <c r="H16" s="31">
        <f t="shared" si="3"/>
        <v>11.92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283</v>
      </c>
      <c r="C19" s="26" t="s">
        <v>145</v>
      </c>
      <c r="D19" s="89">
        <v>99.414227780000004</v>
      </c>
      <c r="E19" s="89">
        <v>39.099786109999997</v>
      </c>
      <c r="F19" s="90" t="s">
        <v>178</v>
      </c>
      <c r="G19" s="70">
        <f t="shared" ref="G19:G24" si="4">H11-H3</f>
        <v>4.6700000000000017</v>
      </c>
    </row>
    <row r="20" spans="2:7" x14ac:dyDescent="0.3">
      <c r="B20" s="26" t="s">
        <v>284</v>
      </c>
      <c r="C20" s="26" t="s">
        <v>146</v>
      </c>
      <c r="D20" s="89">
        <v>100.58157660000001</v>
      </c>
      <c r="E20" s="89">
        <v>38.680473169999999</v>
      </c>
      <c r="F20" s="90" t="s">
        <v>178</v>
      </c>
      <c r="G20" s="70">
        <f t="shared" si="4"/>
        <v>7.9699999999999989</v>
      </c>
    </row>
    <row r="21" spans="2:7" x14ac:dyDescent="0.3">
      <c r="B21" s="26" t="s">
        <v>285</v>
      </c>
      <c r="C21" s="26" t="s">
        <v>147</v>
      </c>
      <c r="D21" s="89">
        <v>101.35886600000001</v>
      </c>
      <c r="E21" s="89">
        <v>38.17372692</v>
      </c>
      <c r="F21" s="90" t="s">
        <v>178</v>
      </c>
      <c r="G21" s="70">
        <f t="shared" si="4"/>
        <v>6.5599999999999952</v>
      </c>
    </row>
    <row r="22" spans="2:7" x14ac:dyDescent="0.3">
      <c r="B22" s="26" t="s">
        <v>286</v>
      </c>
      <c r="C22" s="26" t="s">
        <v>148</v>
      </c>
      <c r="D22" s="89">
        <v>102.1291619</v>
      </c>
      <c r="E22" s="89">
        <v>37.880701170000002</v>
      </c>
      <c r="F22" s="90" t="s">
        <v>178</v>
      </c>
      <c r="G22" s="70">
        <f t="shared" si="4"/>
        <v>8.0700000000000074</v>
      </c>
    </row>
    <row r="23" spans="2:7" x14ac:dyDescent="0.3">
      <c r="B23" s="26" t="s">
        <v>287</v>
      </c>
      <c r="C23" s="26" t="s">
        <v>149</v>
      </c>
      <c r="D23" s="89">
        <v>102.13817659999999</v>
      </c>
      <c r="E23" s="89">
        <v>37.884189679999999</v>
      </c>
      <c r="F23" s="90" t="s">
        <v>178</v>
      </c>
      <c r="G23" s="70">
        <f t="shared" si="4"/>
        <v>-2.379999999999999</v>
      </c>
    </row>
    <row r="24" spans="2:7" x14ac:dyDescent="0.3">
      <c r="B24" s="26" t="s">
        <v>288</v>
      </c>
      <c r="C24" s="26" t="s">
        <v>150</v>
      </c>
      <c r="D24" s="89">
        <v>101.9389006</v>
      </c>
      <c r="E24" s="89">
        <v>37.876809489999999</v>
      </c>
      <c r="F24" s="90" t="s">
        <v>178</v>
      </c>
      <c r="G24" s="70">
        <f t="shared" si="4"/>
        <v>0.48000000000000043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4.2300000000000004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3.9181263237533446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1.5995683734937634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5CB7-3237-41A0-B40D-73E3267BAB5A}">
  <dimension ref="B2:O27"/>
  <sheetViews>
    <sheetView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93</v>
      </c>
      <c r="D2" s="91" t="s">
        <v>289</v>
      </c>
      <c r="E2" s="91" t="s">
        <v>34</v>
      </c>
      <c r="F2" s="91" t="s">
        <v>290</v>
      </c>
      <c r="G2" s="91" t="s">
        <v>96</v>
      </c>
      <c r="H2" s="91" t="s">
        <v>291</v>
      </c>
      <c r="I2" s="85" t="s">
        <v>98</v>
      </c>
    </row>
    <row r="3" spans="2:15" ht="13.25" customHeight="1" x14ac:dyDescent="0.3">
      <c r="B3" s="26" t="s">
        <v>292</v>
      </c>
      <c r="C3" s="27">
        <v>0.1056</v>
      </c>
      <c r="D3" s="28">
        <v>0.93</v>
      </c>
      <c r="E3" s="28">
        <v>52.85</v>
      </c>
      <c r="F3" s="29">
        <f>E3/1.724</f>
        <v>30.655452436194896</v>
      </c>
      <c r="G3" s="30">
        <v>30</v>
      </c>
      <c r="H3" s="31">
        <f>ROUND(F3*D3*G3*(1-C3)*0.1,2)</f>
        <v>76.5</v>
      </c>
      <c r="I3" s="118" t="s">
        <v>99</v>
      </c>
      <c r="K3" s="25"/>
    </row>
    <row r="4" spans="2:15" x14ac:dyDescent="0.3">
      <c r="B4" s="26" t="s">
        <v>293</v>
      </c>
      <c r="C4" s="27">
        <v>0.10340000000000001</v>
      </c>
      <c r="D4" s="28">
        <v>1.04</v>
      </c>
      <c r="E4" s="28">
        <v>49.32</v>
      </c>
      <c r="F4" s="29">
        <f t="shared" ref="F4:F8" si="0">E4/1.724</f>
        <v>28.607888631090489</v>
      </c>
      <c r="G4" s="30">
        <v>30</v>
      </c>
      <c r="H4" s="31">
        <f t="shared" ref="H4:H8" si="1">ROUND(F4*D4*G4*(1-C4)*0.1,2)</f>
        <v>80.03</v>
      </c>
      <c r="I4" s="119"/>
      <c r="K4" s="25"/>
    </row>
    <row r="5" spans="2:15" x14ac:dyDescent="0.3">
      <c r="B5" s="26" t="s">
        <v>294</v>
      </c>
      <c r="C5" s="27">
        <v>9.1899999999999996E-2</v>
      </c>
      <c r="D5" s="28">
        <v>1</v>
      </c>
      <c r="E5" s="28">
        <v>41.25</v>
      </c>
      <c r="F5" s="29">
        <f t="shared" si="0"/>
        <v>23.926914153132252</v>
      </c>
      <c r="G5" s="30">
        <v>30</v>
      </c>
      <c r="H5" s="31">
        <f t="shared" si="1"/>
        <v>65.180000000000007</v>
      </c>
      <c r="I5" s="119"/>
      <c r="K5" s="25"/>
    </row>
    <row r="6" spans="2:15" x14ac:dyDescent="0.3">
      <c r="B6" s="26" t="s">
        <v>295</v>
      </c>
      <c r="C6" s="27">
        <v>0.16600000000000001</v>
      </c>
      <c r="D6" s="28">
        <v>1.1200000000000001</v>
      </c>
      <c r="E6" s="28">
        <v>56.66</v>
      </c>
      <c r="F6" s="29">
        <f t="shared" si="0"/>
        <v>32.865429234338748</v>
      </c>
      <c r="G6" s="30">
        <v>30</v>
      </c>
      <c r="H6" s="31">
        <f t="shared" si="1"/>
        <v>92.1</v>
      </c>
      <c r="I6" s="119"/>
      <c r="K6" s="25"/>
    </row>
    <row r="7" spans="2:15" x14ac:dyDescent="0.3">
      <c r="B7" s="26" t="s">
        <v>296</v>
      </c>
      <c r="C7" s="27">
        <v>0.20979999999999999</v>
      </c>
      <c r="D7" s="28">
        <v>0.97</v>
      </c>
      <c r="E7" s="28">
        <v>26.74</v>
      </c>
      <c r="F7" s="29">
        <f t="shared" si="0"/>
        <v>15.51044083526682</v>
      </c>
      <c r="G7" s="30">
        <v>30</v>
      </c>
      <c r="H7" s="31">
        <f t="shared" si="1"/>
        <v>35.67</v>
      </c>
      <c r="I7" s="119"/>
      <c r="K7" s="25"/>
    </row>
    <row r="8" spans="2:15" x14ac:dyDescent="0.3">
      <c r="B8" s="26" t="s">
        <v>297</v>
      </c>
      <c r="C8" s="27">
        <v>0.20810000000000001</v>
      </c>
      <c r="D8" s="28">
        <v>0.9</v>
      </c>
      <c r="E8" s="28">
        <v>21.69</v>
      </c>
      <c r="F8" s="29">
        <f t="shared" si="0"/>
        <v>12.581206496519723</v>
      </c>
      <c r="G8" s="30">
        <v>30</v>
      </c>
      <c r="H8" s="31">
        <f t="shared" si="1"/>
        <v>26.9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298</v>
      </c>
      <c r="D10" s="91" t="s">
        <v>299</v>
      </c>
      <c r="E10" s="91" t="s">
        <v>34</v>
      </c>
      <c r="F10" s="91" t="s">
        <v>300</v>
      </c>
      <c r="G10" s="91" t="s">
        <v>96</v>
      </c>
      <c r="H10" s="91" t="s">
        <v>301</v>
      </c>
      <c r="I10" s="85" t="s">
        <v>98</v>
      </c>
    </row>
    <row r="11" spans="2:15" ht="14.4" customHeight="1" x14ac:dyDescent="0.3">
      <c r="B11" s="26" t="s">
        <v>302</v>
      </c>
      <c r="C11" s="27">
        <v>0.1101</v>
      </c>
      <c r="D11" s="28">
        <v>1.1100000000000001</v>
      </c>
      <c r="E11" s="28">
        <v>53.37</v>
      </c>
      <c r="F11" s="29">
        <f t="shared" ref="F11:F16" si="2">E11/1.724</f>
        <v>30.957076566125288</v>
      </c>
      <c r="G11" s="30">
        <v>30</v>
      </c>
      <c r="H11" s="31">
        <f>ROUND(F11*D11*G11*(1-C11)*0.1,2)</f>
        <v>91.74</v>
      </c>
      <c r="I11" s="118" t="s">
        <v>99</v>
      </c>
    </row>
    <row r="12" spans="2:15" x14ac:dyDescent="0.3">
      <c r="B12" s="26" t="s">
        <v>303</v>
      </c>
      <c r="C12" s="27">
        <v>9.8400000000000001E-2</v>
      </c>
      <c r="D12" s="28">
        <v>1.18</v>
      </c>
      <c r="E12" s="28">
        <v>50.81</v>
      </c>
      <c r="F12" s="29">
        <f t="shared" si="2"/>
        <v>29.472157772621813</v>
      </c>
      <c r="G12" s="30">
        <v>30</v>
      </c>
      <c r="H12" s="31">
        <f t="shared" ref="H12:H16" si="3">ROUND(F12*D12*G12*(1-C12)*0.1,2)</f>
        <v>94.07</v>
      </c>
      <c r="I12" s="119"/>
    </row>
    <row r="13" spans="2:15" x14ac:dyDescent="0.3">
      <c r="B13" s="26" t="s">
        <v>304</v>
      </c>
      <c r="C13" s="27">
        <v>0.1191</v>
      </c>
      <c r="D13" s="26">
        <v>0.99</v>
      </c>
      <c r="E13" s="26">
        <v>42.35</v>
      </c>
      <c r="F13" s="29">
        <f t="shared" si="2"/>
        <v>24.564965197215777</v>
      </c>
      <c r="G13" s="30">
        <v>30</v>
      </c>
      <c r="H13" s="31">
        <f t="shared" si="3"/>
        <v>64.27</v>
      </c>
      <c r="I13" s="119"/>
    </row>
    <row r="14" spans="2:15" x14ac:dyDescent="0.3">
      <c r="B14" s="26" t="s">
        <v>305</v>
      </c>
      <c r="C14" s="27">
        <v>0.13980000000000001</v>
      </c>
      <c r="D14" s="26">
        <v>1.08</v>
      </c>
      <c r="E14" s="26">
        <v>56.76</v>
      </c>
      <c r="F14" s="29">
        <f t="shared" si="2"/>
        <v>32.923433874709978</v>
      </c>
      <c r="G14" s="30">
        <v>30</v>
      </c>
      <c r="H14" s="31">
        <f t="shared" si="3"/>
        <v>91.76</v>
      </c>
      <c r="I14" s="119"/>
    </row>
    <row r="15" spans="2:15" x14ac:dyDescent="0.3">
      <c r="B15" s="26" t="s">
        <v>306</v>
      </c>
      <c r="C15" s="27">
        <v>0.19980000000000001</v>
      </c>
      <c r="D15" s="28">
        <v>1.05</v>
      </c>
      <c r="E15" s="28">
        <v>27.22</v>
      </c>
      <c r="F15" s="29">
        <f t="shared" si="2"/>
        <v>15.788863109048723</v>
      </c>
      <c r="G15" s="30">
        <v>30</v>
      </c>
      <c r="H15" s="31">
        <f t="shared" si="3"/>
        <v>39.799999999999997</v>
      </c>
      <c r="I15" s="119"/>
    </row>
    <row r="16" spans="2:15" x14ac:dyDescent="0.3">
      <c r="B16" s="26" t="s">
        <v>307</v>
      </c>
      <c r="C16" s="27">
        <v>0.19769999999999999</v>
      </c>
      <c r="D16" s="26">
        <v>1.06</v>
      </c>
      <c r="E16" s="26">
        <v>22.89</v>
      </c>
      <c r="F16" s="29">
        <f t="shared" si="2"/>
        <v>13.277262180974478</v>
      </c>
      <c r="G16" s="30">
        <v>30</v>
      </c>
      <c r="H16" s="31">
        <f t="shared" si="3"/>
        <v>33.869999999999997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308</v>
      </c>
      <c r="C19" s="26" t="s">
        <v>145</v>
      </c>
      <c r="D19" s="89">
        <v>99.415228859999999</v>
      </c>
      <c r="E19" s="89">
        <v>39.233241399999997</v>
      </c>
      <c r="F19" s="90" t="s">
        <v>257</v>
      </c>
      <c r="G19" s="70">
        <f t="shared" ref="G19:G24" si="4">H11-H3</f>
        <v>15.239999999999995</v>
      </c>
    </row>
    <row r="20" spans="2:7" x14ac:dyDescent="0.3">
      <c r="B20" s="26" t="s">
        <v>309</v>
      </c>
      <c r="C20" s="26" t="s">
        <v>146</v>
      </c>
      <c r="D20" s="89">
        <v>99.516991669999996</v>
      </c>
      <c r="E20" s="89">
        <v>39.193947219999998</v>
      </c>
      <c r="F20" s="90" t="s">
        <v>257</v>
      </c>
      <c r="G20" s="70">
        <f t="shared" si="4"/>
        <v>14.039999999999992</v>
      </c>
    </row>
    <row r="21" spans="2:7" x14ac:dyDescent="0.3">
      <c r="B21" s="26" t="s">
        <v>310</v>
      </c>
      <c r="C21" s="26" t="s">
        <v>147</v>
      </c>
      <c r="D21" s="89">
        <v>99.502680560000002</v>
      </c>
      <c r="E21" s="89">
        <v>39.250052779999997</v>
      </c>
      <c r="F21" s="90" t="s">
        <v>257</v>
      </c>
      <c r="G21" s="70">
        <f t="shared" si="4"/>
        <v>-0.9100000000000108</v>
      </c>
    </row>
    <row r="22" spans="2:7" x14ac:dyDescent="0.3">
      <c r="B22" s="26" t="s">
        <v>311</v>
      </c>
      <c r="C22" s="26" t="s">
        <v>148</v>
      </c>
      <c r="D22" s="89">
        <v>99.498152779999998</v>
      </c>
      <c r="E22" s="89">
        <v>39.169730559999998</v>
      </c>
      <c r="F22" s="90" t="s">
        <v>257</v>
      </c>
      <c r="G22" s="70">
        <f t="shared" si="4"/>
        <v>-0.3399999999999892</v>
      </c>
    </row>
    <row r="23" spans="2:7" x14ac:dyDescent="0.3">
      <c r="B23" s="26" t="s">
        <v>312</v>
      </c>
      <c r="C23" s="26" t="s">
        <v>149</v>
      </c>
      <c r="D23" s="89">
        <v>102.0021541</v>
      </c>
      <c r="E23" s="89">
        <v>37.813503900000001</v>
      </c>
      <c r="F23" s="90" t="s">
        <v>257</v>
      </c>
      <c r="G23" s="70">
        <f t="shared" si="4"/>
        <v>4.1299999999999955</v>
      </c>
    </row>
    <row r="24" spans="2:7" x14ac:dyDescent="0.3">
      <c r="B24" s="26" t="s">
        <v>313</v>
      </c>
      <c r="C24" s="26" t="s">
        <v>150</v>
      </c>
      <c r="D24" s="89">
        <v>102.0023363</v>
      </c>
      <c r="E24" s="89">
        <v>37.839115370000002</v>
      </c>
      <c r="F24" s="90" t="s">
        <v>257</v>
      </c>
      <c r="G24" s="70">
        <f t="shared" si="4"/>
        <v>6.9699999999999989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6.52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6.334664991580496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2.5861161534740189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D5D1-6446-4D17-9EB4-2D505DA06385}">
  <dimension ref="B2:O27"/>
  <sheetViews>
    <sheetView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314</v>
      </c>
      <c r="D2" s="91" t="s">
        <v>315</v>
      </c>
      <c r="E2" s="91" t="s">
        <v>34</v>
      </c>
      <c r="F2" s="91" t="s">
        <v>316</v>
      </c>
      <c r="G2" s="91" t="s">
        <v>96</v>
      </c>
      <c r="H2" s="91" t="s">
        <v>317</v>
      </c>
      <c r="I2" s="85" t="s">
        <v>98</v>
      </c>
    </row>
    <row r="3" spans="2:15" ht="13.25" customHeight="1" x14ac:dyDescent="0.3">
      <c r="B3" s="26" t="s">
        <v>318</v>
      </c>
      <c r="C3" s="27">
        <v>0.2044</v>
      </c>
      <c r="D3" s="28">
        <v>1.01</v>
      </c>
      <c r="E3" s="28">
        <v>23.53</v>
      </c>
      <c r="F3" s="29">
        <f>E3/1.724</f>
        <v>13.648491879350349</v>
      </c>
      <c r="G3" s="30">
        <v>30</v>
      </c>
      <c r="H3" s="31">
        <f>ROUND(F3*D3*G3*(1-C3)*0.1,2)</f>
        <v>32.9</v>
      </c>
      <c r="I3" s="118" t="s">
        <v>99</v>
      </c>
      <c r="K3" s="25"/>
    </row>
    <row r="4" spans="2:15" x14ac:dyDescent="0.3">
      <c r="B4" s="26" t="s">
        <v>319</v>
      </c>
      <c r="C4" s="27">
        <v>0.2319</v>
      </c>
      <c r="D4" s="28">
        <v>0.92</v>
      </c>
      <c r="E4" s="28">
        <v>17.100000000000001</v>
      </c>
      <c r="F4" s="29">
        <f t="shared" ref="F4:F8" si="0">E4/1.724</f>
        <v>9.9187935034802788</v>
      </c>
      <c r="G4" s="30">
        <v>30</v>
      </c>
      <c r="H4" s="31">
        <f t="shared" ref="H4:H8" si="1">ROUND(F4*D4*G4*(1-C4)*0.1,2)</f>
        <v>21.03</v>
      </c>
      <c r="I4" s="119"/>
      <c r="K4" s="25"/>
    </row>
    <row r="5" spans="2:15" x14ac:dyDescent="0.3">
      <c r="B5" s="26" t="s">
        <v>320</v>
      </c>
      <c r="C5" s="27">
        <v>0.22359999999999999</v>
      </c>
      <c r="D5" s="28">
        <v>1.1299999999999999</v>
      </c>
      <c r="E5" s="28">
        <v>25.62</v>
      </c>
      <c r="F5" s="29">
        <f t="shared" si="0"/>
        <v>14.86078886310905</v>
      </c>
      <c r="G5" s="30">
        <v>30</v>
      </c>
      <c r="H5" s="31">
        <f t="shared" si="1"/>
        <v>39.11</v>
      </c>
      <c r="I5" s="119"/>
      <c r="K5" s="25"/>
    </row>
    <row r="6" spans="2:15" x14ac:dyDescent="0.3">
      <c r="B6" s="26" t="s">
        <v>321</v>
      </c>
      <c r="C6" s="27">
        <v>0.18579999999999999</v>
      </c>
      <c r="D6" s="28">
        <v>0.9</v>
      </c>
      <c r="E6" s="28">
        <v>46.96</v>
      </c>
      <c r="F6" s="29">
        <f t="shared" si="0"/>
        <v>27.238979118329468</v>
      </c>
      <c r="G6" s="30">
        <v>30</v>
      </c>
      <c r="H6" s="31">
        <f t="shared" si="1"/>
        <v>59.88</v>
      </c>
      <c r="I6" s="119"/>
      <c r="K6" s="25"/>
    </row>
    <row r="7" spans="2:15" x14ac:dyDescent="0.3">
      <c r="B7" s="26" t="s">
        <v>322</v>
      </c>
      <c r="C7" s="27">
        <v>0.14119999999999999</v>
      </c>
      <c r="D7" s="28">
        <v>0.97</v>
      </c>
      <c r="E7" s="28">
        <v>59.31</v>
      </c>
      <c r="F7" s="29">
        <f t="shared" si="0"/>
        <v>34.402552204176338</v>
      </c>
      <c r="G7" s="30">
        <v>30</v>
      </c>
      <c r="H7" s="31">
        <f t="shared" si="1"/>
        <v>85.98</v>
      </c>
      <c r="I7" s="119"/>
      <c r="K7" s="25"/>
    </row>
    <row r="8" spans="2:15" x14ac:dyDescent="0.3">
      <c r="B8" s="26" t="s">
        <v>323</v>
      </c>
      <c r="C8" s="27">
        <v>0.1734</v>
      </c>
      <c r="D8" s="28">
        <v>0.9</v>
      </c>
      <c r="E8" s="28">
        <v>43.3</v>
      </c>
      <c r="F8" s="29">
        <f t="shared" si="0"/>
        <v>25.116009280742457</v>
      </c>
      <c r="G8" s="30">
        <v>30</v>
      </c>
      <c r="H8" s="31">
        <f t="shared" si="1"/>
        <v>56.05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324</v>
      </c>
      <c r="D10" s="91" t="s">
        <v>325</v>
      </c>
      <c r="E10" s="91" t="s">
        <v>34</v>
      </c>
      <c r="F10" s="91" t="s">
        <v>326</v>
      </c>
      <c r="G10" s="91" t="s">
        <v>96</v>
      </c>
      <c r="H10" s="91" t="s">
        <v>327</v>
      </c>
      <c r="I10" s="85" t="s">
        <v>98</v>
      </c>
    </row>
    <row r="11" spans="2:15" ht="14.4" customHeight="1" x14ac:dyDescent="0.3">
      <c r="B11" s="26" t="s">
        <v>328</v>
      </c>
      <c r="C11" s="27">
        <v>0.23810000000000001</v>
      </c>
      <c r="D11" s="28">
        <v>1.06</v>
      </c>
      <c r="E11" s="28">
        <v>24.96</v>
      </c>
      <c r="F11" s="29">
        <f t="shared" ref="F11:F16" si="2">E11/1.724</f>
        <v>14.477958236658933</v>
      </c>
      <c r="G11" s="30">
        <v>30</v>
      </c>
      <c r="H11" s="31">
        <f>ROUND(F11*D11*30*(1-C11)*0.1,2)</f>
        <v>35.08</v>
      </c>
      <c r="I11" s="118" t="s">
        <v>99</v>
      </c>
    </row>
    <row r="12" spans="2:15" x14ac:dyDescent="0.3">
      <c r="B12" s="26" t="s">
        <v>329</v>
      </c>
      <c r="C12" s="27">
        <v>0.20119999999999999</v>
      </c>
      <c r="D12" s="28">
        <v>1.02</v>
      </c>
      <c r="E12" s="28">
        <v>17.12</v>
      </c>
      <c r="F12" s="29">
        <f t="shared" si="2"/>
        <v>9.9303944315545252</v>
      </c>
      <c r="G12" s="30">
        <v>30</v>
      </c>
      <c r="H12" s="31">
        <f t="shared" ref="H12:H16" si="3">ROUND(F12*D12*30*(1-C12)*0.1,2)</f>
        <v>24.27</v>
      </c>
      <c r="I12" s="119"/>
    </row>
    <row r="13" spans="2:15" x14ac:dyDescent="0.3">
      <c r="B13" s="26" t="s">
        <v>330</v>
      </c>
      <c r="C13" s="27">
        <v>0.21920000000000001</v>
      </c>
      <c r="D13" s="26">
        <v>1.2</v>
      </c>
      <c r="E13" s="26">
        <v>25.67</v>
      </c>
      <c r="F13" s="29">
        <f t="shared" si="2"/>
        <v>14.889791183294665</v>
      </c>
      <c r="G13" s="30">
        <v>30</v>
      </c>
      <c r="H13" s="31">
        <f t="shared" si="3"/>
        <v>41.85</v>
      </c>
      <c r="I13" s="119"/>
    </row>
    <row r="14" spans="2:15" x14ac:dyDescent="0.3">
      <c r="B14" s="26" t="s">
        <v>331</v>
      </c>
      <c r="C14" s="27">
        <v>0.1358</v>
      </c>
      <c r="D14" s="26">
        <v>1.1599999999999999</v>
      </c>
      <c r="E14" s="26">
        <v>48</v>
      </c>
      <c r="F14" s="29">
        <f t="shared" si="2"/>
        <v>27.842227378190255</v>
      </c>
      <c r="G14" s="30">
        <v>30</v>
      </c>
      <c r="H14" s="31">
        <f t="shared" si="3"/>
        <v>83.73</v>
      </c>
      <c r="I14" s="119"/>
    </row>
    <row r="15" spans="2:15" x14ac:dyDescent="0.3">
      <c r="B15" s="26" t="s">
        <v>332</v>
      </c>
      <c r="C15" s="27">
        <v>0.1605</v>
      </c>
      <c r="D15" s="28">
        <v>1.1399999999999999</v>
      </c>
      <c r="E15" s="28">
        <v>60.27</v>
      </c>
      <c r="F15" s="29">
        <f t="shared" si="2"/>
        <v>34.959396751740144</v>
      </c>
      <c r="G15" s="30">
        <v>30</v>
      </c>
      <c r="H15" s="31">
        <f t="shared" si="3"/>
        <v>100.37</v>
      </c>
      <c r="I15" s="119"/>
    </row>
    <row r="16" spans="2:15" x14ac:dyDescent="0.3">
      <c r="B16" s="26" t="s">
        <v>333</v>
      </c>
      <c r="C16" s="27">
        <v>0.15690000000000001</v>
      </c>
      <c r="D16" s="26">
        <v>0.95</v>
      </c>
      <c r="E16" s="26">
        <v>44.51</v>
      </c>
      <c r="F16" s="29">
        <f t="shared" si="2"/>
        <v>25.817865429234338</v>
      </c>
      <c r="G16" s="30">
        <v>30</v>
      </c>
      <c r="H16" s="31">
        <f t="shared" si="3"/>
        <v>62.04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334</v>
      </c>
      <c r="C19" s="26" t="s">
        <v>145</v>
      </c>
      <c r="D19" s="89">
        <v>99.323104220000005</v>
      </c>
      <c r="E19" s="89">
        <v>39.138671129999999</v>
      </c>
      <c r="F19" s="90" t="s">
        <v>257</v>
      </c>
      <c r="G19" s="70">
        <f t="shared" ref="G19:G24" si="4">H11-H3</f>
        <v>2.1799999999999997</v>
      </c>
    </row>
    <row r="20" spans="2:7" x14ac:dyDescent="0.3">
      <c r="B20" s="26" t="s">
        <v>335</v>
      </c>
      <c r="C20" s="26" t="s">
        <v>146</v>
      </c>
      <c r="D20" s="89">
        <v>99.335496359999993</v>
      </c>
      <c r="E20" s="89">
        <v>39.140697240000001</v>
      </c>
      <c r="F20" s="90" t="s">
        <v>257</v>
      </c>
      <c r="G20" s="70">
        <f t="shared" si="4"/>
        <v>3.2399999999999984</v>
      </c>
    </row>
    <row r="21" spans="2:7" x14ac:dyDescent="0.3">
      <c r="B21" s="26" t="s">
        <v>336</v>
      </c>
      <c r="C21" s="26" t="s">
        <v>147</v>
      </c>
      <c r="D21" s="89">
        <v>99.357937770000007</v>
      </c>
      <c r="E21" s="89">
        <v>39.095761189999997</v>
      </c>
      <c r="F21" s="90" t="s">
        <v>257</v>
      </c>
      <c r="G21" s="70">
        <f t="shared" si="4"/>
        <v>2.740000000000002</v>
      </c>
    </row>
    <row r="22" spans="2:7" x14ac:dyDescent="0.3">
      <c r="B22" s="26" t="s">
        <v>337</v>
      </c>
      <c r="C22" s="26" t="s">
        <v>148</v>
      </c>
      <c r="D22" s="89">
        <v>101.3809122</v>
      </c>
      <c r="E22" s="89">
        <v>38.219154860000003</v>
      </c>
      <c r="F22" s="90" t="s">
        <v>257</v>
      </c>
      <c r="G22" s="70">
        <f t="shared" si="4"/>
        <v>23.85</v>
      </c>
    </row>
    <row r="23" spans="2:7" x14ac:dyDescent="0.3">
      <c r="B23" s="26" t="s">
        <v>338</v>
      </c>
      <c r="C23" s="26" t="s">
        <v>149</v>
      </c>
      <c r="D23" s="89">
        <v>101.31952219999999</v>
      </c>
      <c r="E23" s="89">
        <v>38.142472220000002</v>
      </c>
      <c r="F23" s="90" t="s">
        <v>257</v>
      </c>
      <c r="G23" s="70">
        <f t="shared" si="4"/>
        <v>14.39</v>
      </c>
    </row>
    <row r="24" spans="2:7" x14ac:dyDescent="0.3">
      <c r="B24" s="26" t="s">
        <v>339</v>
      </c>
      <c r="C24" s="26" t="s">
        <v>150</v>
      </c>
      <c r="D24" s="89">
        <v>101.3594105</v>
      </c>
      <c r="E24" s="89">
        <v>38.281319699999997</v>
      </c>
      <c r="F24" s="90" t="s">
        <v>257</v>
      </c>
      <c r="G24" s="70">
        <f t="shared" si="4"/>
        <v>5.990000000000002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8.73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7.9275919350638189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3.2364258549849123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EFF1-BDE5-4F78-8AA6-296C04205E9D}">
  <dimension ref="B2:O36"/>
  <sheetViews>
    <sheetView workbookViewId="0">
      <selection activeCell="B2" sqref="B2:H11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3" t="s">
        <v>33</v>
      </c>
      <c r="C2" s="91" t="s">
        <v>340</v>
      </c>
      <c r="D2" s="91" t="s">
        <v>341</v>
      </c>
      <c r="E2" s="91" t="s">
        <v>34</v>
      </c>
      <c r="F2" s="91" t="s">
        <v>342</v>
      </c>
      <c r="G2" s="91" t="s">
        <v>96</v>
      </c>
      <c r="H2" s="93" t="s">
        <v>343</v>
      </c>
      <c r="I2" s="85" t="s">
        <v>98</v>
      </c>
    </row>
    <row r="3" spans="2:15" ht="13.25" customHeight="1" x14ac:dyDescent="0.3">
      <c r="B3" s="3" t="s">
        <v>344</v>
      </c>
      <c r="C3" s="14">
        <v>0.2707</v>
      </c>
      <c r="D3" s="70">
        <v>0.89</v>
      </c>
      <c r="E3" s="68">
        <v>42.33</v>
      </c>
      <c r="F3" s="69">
        <f>E3/1.724</f>
        <v>24.553364269141532</v>
      </c>
      <c r="G3" s="30">
        <v>30</v>
      </c>
      <c r="H3" s="70">
        <f>ROUND(F3*D3*G3*(1-C3)*0.1,2)</f>
        <v>47.81</v>
      </c>
      <c r="I3" s="118" t="s">
        <v>99</v>
      </c>
      <c r="K3" s="25"/>
    </row>
    <row r="4" spans="2:15" x14ac:dyDescent="0.3">
      <c r="B4" s="3" t="s">
        <v>345</v>
      </c>
      <c r="C4" s="14">
        <v>0.1047</v>
      </c>
      <c r="D4" s="68">
        <v>1.06</v>
      </c>
      <c r="E4" s="68">
        <v>48.24</v>
      </c>
      <c r="F4" s="69">
        <f t="shared" ref="F4:F11" si="0">E4/1.724</f>
        <v>27.981438515081209</v>
      </c>
      <c r="G4" s="30">
        <v>30</v>
      </c>
      <c r="H4" s="70">
        <f t="shared" ref="H4:H11" si="1">ROUND(F4*D4*G4*(1-C4)*0.1,2)</f>
        <v>79.66</v>
      </c>
      <c r="I4" s="119"/>
      <c r="K4" s="25"/>
    </row>
    <row r="5" spans="2:15" x14ac:dyDescent="0.3">
      <c r="B5" s="3" t="s">
        <v>346</v>
      </c>
      <c r="C5" s="14">
        <v>0.1447</v>
      </c>
      <c r="D5" s="68">
        <v>1.04</v>
      </c>
      <c r="E5" s="68">
        <v>67.94</v>
      </c>
      <c r="F5" s="69">
        <f t="shared" si="0"/>
        <v>39.408352668213453</v>
      </c>
      <c r="G5" s="30">
        <v>30</v>
      </c>
      <c r="H5" s="70">
        <f t="shared" si="1"/>
        <v>105.16</v>
      </c>
      <c r="I5" s="119"/>
      <c r="K5" s="25"/>
    </row>
    <row r="6" spans="2:15" x14ac:dyDescent="0.3">
      <c r="B6" s="3" t="s">
        <v>347</v>
      </c>
      <c r="C6" s="14">
        <v>0.1416</v>
      </c>
      <c r="D6" s="68">
        <v>0.82</v>
      </c>
      <c r="E6" s="68">
        <v>42.41</v>
      </c>
      <c r="F6" s="69">
        <f t="shared" si="0"/>
        <v>24.599767981438514</v>
      </c>
      <c r="G6" s="30">
        <v>30</v>
      </c>
      <c r="H6" s="70">
        <f t="shared" si="1"/>
        <v>51.95</v>
      </c>
      <c r="I6" s="119"/>
      <c r="K6" s="25"/>
    </row>
    <row r="7" spans="2:15" x14ac:dyDescent="0.3">
      <c r="B7" s="3" t="s">
        <v>348</v>
      </c>
      <c r="C7" s="14">
        <v>7.9200000000000007E-2</v>
      </c>
      <c r="D7" s="68">
        <v>1.05</v>
      </c>
      <c r="E7" s="68">
        <v>47.39</v>
      </c>
      <c r="F7" s="69">
        <f t="shared" si="0"/>
        <v>27.488399071925755</v>
      </c>
      <c r="G7" s="30">
        <v>30</v>
      </c>
      <c r="H7" s="70">
        <f t="shared" si="1"/>
        <v>79.73</v>
      </c>
      <c r="I7" s="119"/>
      <c r="K7" s="25"/>
    </row>
    <row r="8" spans="2:15" x14ac:dyDescent="0.3">
      <c r="B8" s="3" t="s">
        <v>349</v>
      </c>
      <c r="C8" s="14">
        <v>0.1046</v>
      </c>
      <c r="D8" s="68">
        <v>0.91</v>
      </c>
      <c r="E8" s="68">
        <v>50.73</v>
      </c>
      <c r="F8" s="69">
        <f t="shared" si="0"/>
        <v>29.425754060324824</v>
      </c>
      <c r="G8" s="30">
        <v>30</v>
      </c>
      <c r="H8" s="70">
        <f t="shared" si="1"/>
        <v>71.930000000000007</v>
      </c>
      <c r="I8" s="119"/>
      <c r="K8" s="25"/>
    </row>
    <row r="9" spans="2:15" x14ac:dyDescent="0.3">
      <c r="B9" s="3" t="s">
        <v>350</v>
      </c>
      <c r="C9" s="14">
        <v>0.14269999999999999</v>
      </c>
      <c r="D9" s="68">
        <v>1.06</v>
      </c>
      <c r="E9" s="68">
        <v>40.67</v>
      </c>
      <c r="F9" s="69">
        <f t="shared" si="0"/>
        <v>23.590487238979119</v>
      </c>
      <c r="G9" s="30">
        <v>30</v>
      </c>
      <c r="H9" s="70">
        <f t="shared" si="1"/>
        <v>64.31</v>
      </c>
      <c r="I9" s="119"/>
      <c r="K9" s="25"/>
    </row>
    <row r="10" spans="2:15" x14ac:dyDescent="0.3">
      <c r="B10" s="3" t="s">
        <v>351</v>
      </c>
      <c r="C10" s="14">
        <v>0.12709999999999999</v>
      </c>
      <c r="D10" s="68">
        <v>0.88</v>
      </c>
      <c r="E10" s="68">
        <v>52.83</v>
      </c>
      <c r="F10" s="69">
        <f t="shared" si="0"/>
        <v>30.643851508120648</v>
      </c>
      <c r="G10" s="30">
        <v>30</v>
      </c>
      <c r="H10" s="70">
        <f t="shared" si="1"/>
        <v>70.62</v>
      </c>
      <c r="I10" s="119"/>
      <c r="K10" s="25"/>
    </row>
    <row r="11" spans="2:15" x14ac:dyDescent="0.3">
      <c r="B11" s="3" t="s">
        <v>352</v>
      </c>
      <c r="C11" s="14">
        <v>0.16109999999999999</v>
      </c>
      <c r="D11" s="68">
        <v>1.02</v>
      </c>
      <c r="E11" s="68">
        <v>55.44</v>
      </c>
      <c r="F11" s="69">
        <f t="shared" si="0"/>
        <v>32.157772621809741</v>
      </c>
      <c r="G11" s="30">
        <v>30</v>
      </c>
      <c r="H11" s="70">
        <f t="shared" si="1"/>
        <v>82.55</v>
      </c>
      <c r="I11" s="119"/>
      <c r="K11" s="25"/>
    </row>
    <row r="12" spans="2:15" ht="14" customHeight="1" x14ac:dyDescent="0.3">
      <c r="O12" s="33"/>
    </row>
    <row r="13" spans="2:15" ht="16" x14ac:dyDescent="0.3">
      <c r="B13" s="93" t="s">
        <v>33</v>
      </c>
      <c r="C13" s="91" t="s">
        <v>353</v>
      </c>
      <c r="D13" s="91" t="s">
        <v>354</v>
      </c>
      <c r="E13" s="91" t="s">
        <v>34</v>
      </c>
      <c r="F13" s="91" t="s">
        <v>355</v>
      </c>
      <c r="G13" s="91" t="s">
        <v>96</v>
      </c>
      <c r="H13" s="91" t="s">
        <v>356</v>
      </c>
      <c r="I13" s="85" t="s">
        <v>98</v>
      </c>
    </row>
    <row r="14" spans="2:15" ht="14.4" customHeight="1" x14ac:dyDescent="0.3">
      <c r="B14" s="3" t="s">
        <v>357</v>
      </c>
      <c r="C14" s="14">
        <v>0.14130000000000001</v>
      </c>
      <c r="D14" s="68">
        <v>1</v>
      </c>
      <c r="E14" s="68">
        <v>43.19</v>
      </c>
      <c r="F14" s="69">
        <f>E14/1.724</f>
        <v>25.052204176334104</v>
      </c>
      <c r="G14" s="30">
        <v>30</v>
      </c>
      <c r="H14" s="70">
        <f>ROUND(F14*D14*G14*(1-C14)*0.1,2)</f>
        <v>64.540000000000006</v>
      </c>
      <c r="I14" s="118" t="s">
        <v>99</v>
      </c>
    </row>
    <row r="15" spans="2:15" x14ac:dyDescent="0.3">
      <c r="B15" s="3" t="s">
        <v>358</v>
      </c>
      <c r="C15" s="14">
        <v>0.13830000000000001</v>
      </c>
      <c r="D15" s="70">
        <v>1.1299999999999999</v>
      </c>
      <c r="E15" s="68">
        <v>48.33</v>
      </c>
      <c r="F15" s="69">
        <f t="shared" ref="F15:F22" si="2">E15/1.724</f>
        <v>28.033642691415313</v>
      </c>
      <c r="G15" s="30">
        <v>30</v>
      </c>
      <c r="H15" s="70">
        <f t="shared" ref="H15:H22" si="3">ROUND(F15*D15*G15*(1-C15)*0.1,2)</f>
        <v>81.89</v>
      </c>
      <c r="I15" s="119"/>
    </row>
    <row r="16" spans="2:15" x14ac:dyDescent="0.3">
      <c r="B16" s="3" t="s">
        <v>359</v>
      </c>
      <c r="C16" s="14">
        <v>0.1096</v>
      </c>
      <c r="D16" s="70">
        <v>0.97</v>
      </c>
      <c r="E16" s="3">
        <v>70.290000000000006</v>
      </c>
      <c r="F16" s="69">
        <f t="shared" si="2"/>
        <v>40.77146171693736</v>
      </c>
      <c r="G16" s="30">
        <v>30</v>
      </c>
      <c r="H16" s="70">
        <f t="shared" si="3"/>
        <v>105.64</v>
      </c>
      <c r="I16" s="119"/>
    </row>
    <row r="17" spans="2:9" x14ac:dyDescent="0.3">
      <c r="B17" s="3" t="s">
        <v>360</v>
      </c>
      <c r="C17" s="14">
        <v>0.1176</v>
      </c>
      <c r="D17" s="70">
        <v>0.92</v>
      </c>
      <c r="E17" s="3">
        <v>43.98</v>
      </c>
      <c r="F17" s="69">
        <f t="shared" si="2"/>
        <v>25.51044083526682</v>
      </c>
      <c r="G17" s="30">
        <v>30</v>
      </c>
      <c r="H17" s="70">
        <f t="shared" si="3"/>
        <v>62.13</v>
      </c>
      <c r="I17" s="119"/>
    </row>
    <row r="18" spans="2:9" x14ac:dyDescent="0.3">
      <c r="B18" s="3" t="s">
        <v>361</v>
      </c>
      <c r="C18" s="14">
        <v>0.16209999999999999</v>
      </c>
      <c r="D18" s="70">
        <v>1.1100000000000001</v>
      </c>
      <c r="E18" s="3">
        <v>49.33</v>
      </c>
      <c r="F18" s="69">
        <f t="shared" si="2"/>
        <v>28.613689095127608</v>
      </c>
      <c r="G18" s="30">
        <v>30</v>
      </c>
      <c r="H18" s="70">
        <f t="shared" si="3"/>
        <v>79.84</v>
      </c>
      <c r="I18" s="119"/>
    </row>
    <row r="19" spans="2:9" x14ac:dyDescent="0.3">
      <c r="B19" s="3" t="s">
        <v>362</v>
      </c>
      <c r="C19" s="14">
        <v>0.13789999999999999</v>
      </c>
      <c r="D19" s="70">
        <v>1.06</v>
      </c>
      <c r="E19" s="3">
        <v>51.72</v>
      </c>
      <c r="F19" s="69">
        <f t="shared" si="2"/>
        <v>30</v>
      </c>
      <c r="G19" s="30">
        <v>30</v>
      </c>
      <c r="H19" s="70">
        <f t="shared" si="3"/>
        <v>82.24</v>
      </c>
      <c r="I19" s="119"/>
    </row>
    <row r="20" spans="2:9" x14ac:dyDescent="0.3">
      <c r="B20" s="3" t="s">
        <v>363</v>
      </c>
      <c r="C20" s="14">
        <v>0.1852</v>
      </c>
      <c r="D20" s="70">
        <v>1.1599999999999999</v>
      </c>
      <c r="E20" s="3">
        <v>46.75</v>
      </c>
      <c r="F20" s="69">
        <f t="shared" si="2"/>
        <v>27.117169373549885</v>
      </c>
      <c r="G20" s="30">
        <v>30</v>
      </c>
      <c r="H20" s="70">
        <f t="shared" si="3"/>
        <v>76.89</v>
      </c>
      <c r="I20" s="119"/>
    </row>
    <row r="21" spans="2:9" x14ac:dyDescent="0.3">
      <c r="B21" s="3" t="s">
        <v>364</v>
      </c>
      <c r="C21" s="14">
        <v>0.1429</v>
      </c>
      <c r="D21" s="70">
        <v>0.95</v>
      </c>
      <c r="E21" s="3">
        <v>57.77</v>
      </c>
      <c r="F21" s="69">
        <f t="shared" si="2"/>
        <v>33.509280742459396</v>
      </c>
      <c r="G21" s="30">
        <v>30</v>
      </c>
      <c r="H21" s="70">
        <f t="shared" si="3"/>
        <v>81.849999999999994</v>
      </c>
      <c r="I21" s="119"/>
    </row>
    <row r="22" spans="2:9" x14ac:dyDescent="0.3">
      <c r="B22" s="3" t="s">
        <v>365</v>
      </c>
      <c r="C22" s="14">
        <v>0.16600000000000001</v>
      </c>
      <c r="D22" s="70">
        <v>1.05</v>
      </c>
      <c r="E22" s="3">
        <v>55.53</v>
      </c>
      <c r="F22" s="69">
        <f t="shared" si="2"/>
        <v>32.209976798143856</v>
      </c>
      <c r="G22" s="30">
        <v>30</v>
      </c>
      <c r="H22" s="70">
        <f t="shared" si="3"/>
        <v>84.62</v>
      </c>
      <c r="I22" s="119"/>
    </row>
    <row r="24" spans="2:9" ht="15" x14ac:dyDescent="0.3">
      <c r="B24" s="47" t="s">
        <v>33</v>
      </c>
      <c r="C24" s="47" t="s">
        <v>37</v>
      </c>
      <c r="D24" s="79" t="s">
        <v>141</v>
      </c>
      <c r="E24" s="79" t="s">
        <v>142</v>
      </c>
      <c r="F24" s="79" t="s">
        <v>143</v>
      </c>
      <c r="G24" s="47" t="s">
        <v>144</v>
      </c>
    </row>
    <row r="25" spans="2:9" x14ac:dyDescent="0.3">
      <c r="B25" s="3" t="s">
        <v>366</v>
      </c>
      <c r="C25" s="3" t="s">
        <v>367</v>
      </c>
      <c r="D25" s="92">
        <v>99.339793589999999</v>
      </c>
      <c r="E25" s="92">
        <v>39.119130849999998</v>
      </c>
      <c r="F25" s="72" t="s">
        <v>368</v>
      </c>
      <c r="G25" s="70">
        <f t="shared" ref="G25:G33" si="4">H14-H3</f>
        <v>16.730000000000004</v>
      </c>
    </row>
    <row r="26" spans="2:9" x14ac:dyDescent="0.3">
      <c r="B26" s="3" t="s">
        <v>369</v>
      </c>
      <c r="C26" s="3" t="s">
        <v>370</v>
      </c>
      <c r="D26" s="92">
        <v>99.399877779999997</v>
      </c>
      <c r="E26" s="92">
        <v>39.124733329999998</v>
      </c>
      <c r="F26" s="72" t="s">
        <v>368</v>
      </c>
      <c r="G26" s="70">
        <f t="shared" si="4"/>
        <v>2.230000000000004</v>
      </c>
    </row>
    <row r="27" spans="2:9" x14ac:dyDescent="0.3">
      <c r="B27" s="3" t="s">
        <v>371</v>
      </c>
      <c r="C27" s="3" t="s">
        <v>372</v>
      </c>
      <c r="D27" s="92">
        <v>100.9182722</v>
      </c>
      <c r="E27" s="92">
        <v>38.559447220000003</v>
      </c>
      <c r="F27" s="72" t="s">
        <v>368</v>
      </c>
      <c r="G27" s="70">
        <f t="shared" si="4"/>
        <v>0.48000000000000398</v>
      </c>
    </row>
    <row r="28" spans="2:9" x14ac:dyDescent="0.3">
      <c r="B28" s="3" t="s">
        <v>373</v>
      </c>
      <c r="C28" s="3" t="s">
        <v>374</v>
      </c>
      <c r="D28" s="92">
        <v>100.9755667</v>
      </c>
      <c r="E28" s="92">
        <v>38.469149999999999</v>
      </c>
      <c r="F28" s="72" t="s">
        <v>368</v>
      </c>
      <c r="G28" s="70">
        <f t="shared" si="4"/>
        <v>10.18</v>
      </c>
    </row>
    <row r="29" spans="2:9" x14ac:dyDescent="0.3">
      <c r="B29" s="3" t="s">
        <v>375</v>
      </c>
      <c r="C29" s="3" t="s">
        <v>376</v>
      </c>
      <c r="D29" s="92">
        <v>101.30712080000001</v>
      </c>
      <c r="E29" s="92">
        <v>38.145798069999998</v>
      </c>
      <c r="F29" s="72" t="s">
        <v>368</v>
      </c>
      <c r="G29" s="70">
        <f t="shared" si="4"/>
        <v>0.10999999999999943</v>
      </c>
    </row>
    <row r="30" spans="2:9" x14ac:dyDescent="0.3">
      <c r="B30" s="3" t="s">
        <v>377</v>
      </c>
      <c r="C30" s="3" t="s">
        <v>378</v>
      </c>
      <c r="D30" s="92">
        <v>101.319427</v>
      </c>
      <c r="E30" s="92">
        <v>38.154140159999997</v>
      </c>
      <c r="F30" s="72" t="s">
        <v>368</v>
      </c>
      <c r="G30" s="70">
        <f t="shared" si="4"/>
        <v>10.309999999999988</v>
      </c>
    </row>
    <row r="31" spans="2:9" x14ac:dyDescent="0.3">
      <c r="B31" s="3" t="s">
        <v>379</v>
      </c>
      <c r="C31" s="3" t="s">
        <v>380</v>
      </c>
      <c r="D31" s="92">
        <v>100.9687972</v>
      </c>
      <c r="E31" s="92">
        <v>38.705366669999997</v>
      </c>
      <c r="F31" s="72" t="s">
        <v>368</v>
      </c>
      <c r="G31" s="70">
        <f t="shared" si="4"/>
        <v>12.579999999999998</v>
      </c>
    </row>
    <row r="32" spans="2:9" x14ac:dyDescent="0.3">
      <c r="B32" s="3" t="s">
        <v>381</v>
      </c>
      <c r="C32" s="3" t="s">
        <v>382</v>
      </c>
      <c r="D32" s="92">
        <v>101.50236390000001</v>
      </c>
      <c r="E32" s="92">
        <v>38.432680560000001</v>
      </c>
      <c r="F32" s="72" t="s">
        <v>368</v>
      </c>
      <c r="G32" s="70">
        <f t="shared" si="4"/>
        <v>11.22999999999999</v>
      </c>
    </row>
    <row r="33" spans="2:7" x14ac:dyDescent="0.3">
      <c r="B33" s="3" t="s">
        <v>383</v>
      </c>
      <c r="C33" s="3" t="s">
        <v>384</v>
      </c>
      <c r="D33" s="92">
        <v>101.13439440000001</v>
      </c>
      <c r="E33" s="92">
        <v>38.799327779999999</v>
      </c>
      <c r="F33" s="72" t="s">
        <v>368</v>
      </c>
      <c r="G33" s="70">
        <f t="shared" si="4"/>
        <v>2.0700000000000074</v>
      </c>
    </row>
    <row r="34" spans="2:7" ht="13" x14ac:dyDescent="0.3">
      <c r="B34" s="3"/>
      <c r="C34" s="73"/>
      <c r="D34" s="3"/>
      <c r="E34" s="3"/>
      <c r="F34" s="15" t="s">
        <v>151</v>
      </c>
      <c r="G34" s="74">
        <f>ROUND(AVERAGE(G25:G33),2)</f>
        <v>7.32</v>
      </c>
    </row>
    <row r="35" spans="2:7" ht="13" x14ac:dyDescent="0.3">
      <c r="B35" s="3"/>
      <c r="C35" s="73"/>
      <c r="D35" s="3"/>
      <c r="E35" s="3"/>
      <c r="F35" s="15" t="s">
        <v>152</v>
      </c>
      <c r="G35" s="74">
        <f>STDEVP(G25:G33)</f>
        <v>5.7818069284631664</v>
      </c>
    </row>
    <row r="36" spans="2:7" ht="13" x14ac:dyDescent="0.3">
      <c r="B36" s="3"/>
      <c r="C36" s="73"/>
      <c r="D36" s="3"/>
      <c r="E36" s="3"/>
      <c r="F36" s="15" t="s">
        <v>134</v>
      </c>
      <c r="G36" s="74">
        <f>G35/SQRT(COUNT(G25:G33))</f>
        <v>1.9272689761543889</v>
      </c>
    </row>
  </sheetData>
  <mergeCells count="2">
    <mergeCell ref="I3:I11"/>
    <mergeCell ref="I14:I22"/>
  </mergeCells>
  <phoneticPr fontId="2" type="noConversion"/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664E-BDCE-4B6A-A059-D14744AF25AC}">
  <dimension ref="B2:O27"/>
  <sheetViews>
    <sheetView topLeftCell="A9" workbookViewId="0">
      <selection activeCell="B10" sqref="B10:H16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7.832031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533</v>
      </c>
      <c r="D2" s="91" t="s">
        <v>534</v>
      </c>
      <c r="E2" s="91" t="s">
        <v>34</v>
      </c>
      <c r="F2" s="91" t="s">
        <v>535</v>
      </c>
      <c r="G2" s="91" t="s">
        <v>96</v>
      </c>
      <c r="H2" s="91" t="s">
        <v>536</v>
      </c>
      <c r="I2" s="85" t="s">
        <v>98</v>
      </c>
    </row>
    <row r="3" spans="2:15" ht="13.25" customHeight="1" x14ac:dyDescent="0.3">
      <c r="B3" s="26" t="s">
        <v>537</v>
      </c>
      <c r="C3" s="27">
        <v>0.1454</v>
      </c>
      <c r="D3" s="28">
        <v>1.21</v>
      </c>
      <c r="E3" s="28">
        <v>54.9</v>
      </c>
      <c r="F3" s="29">
        <f>E3/1.724</f>
        <v>31.844547563805104</v>
      </c>
      <c r="G3" s="30">
        <v>30</v>
      </c>
      <c r="H3" s="31">
        <f>ROUND(F3*D3*G3*(1-C3)*0.1,2)</f>
        <v>98.79</v>
      </c>
      <c r="I3" s="118" t="s">
        <v>99</v>
      </c>
      <c r="K3" s="25"/>
    </row>
    <row r="4" spans="2:15" x14ac:dyDescent="0.3">
      <c r="B4" s="26" t="s">
        <v>538</v>
      </c>
      <c r="C4" s="27">
        <v>0.16020000000000001</v>
      </c>
      <c r="D4" s="28">
        <v>0.81</v>
      </c>
      <c r="E4" s="28">
        <v>41.29</v>
      </c>
      <c r="F4" s="29">
        <f t="shared" ref="F4:F8" si="0">E4/1.724</f>
        <v>23.950116009280741</v>
      </c>
      <c r="G4" s="30">
        <v>30</v>
      </c>
      <c r="H4" s="31">
        <f t="shared" ref="H4:H8" si="1">ROUND(F4*D4*G4*(1-C4)*0.1,2)</f>
        <v>48.88</v>
      </c>
      <c r="I4" s="119"/>
      <c r="K4" s="25"/>
    </row>
    <row r="5" spans="2:15" x14ac:dyDescent="0.3">
      <c r="B5" s="26" t="s">
        <v>539</v>
      </c>
      <c r="C5" s="27">
        <v>0.10639999999999999</v>
      </c>
      <c r="D5" s="28">
        <v>0.99</v>
      </c>
      <c r="E5" s="28">
        <v>52.86</v>
      </c>
      <c r="F5" s="29">
        <f t="shared" si="0"/>
        <v>30.661252900232018</v>
      </c>
      <c r="G5" s="30">
        <v>30</v>
      </c>
      <c r="H5" s="31">
        <f t="shared" si="1"/>
        <v>81.37</v>
      </c>
      <c r="I5" s="119"/>
      <c r="K5" s="25"/>
    </row>
    <row r="6" spans="2:15" x14ac:dyDescent="0.3">
      <c r="B6" s="26" t="s">
        <v>540</v>
      </c>
      <c r="C6" s="27">
        <v>0.14660000000000001</v>
      </c>
      <c r="D6" s="28">
        <v>0.98</v>
      </c>
      <c r="E6" s="28">
        <v>68.709999999999994</v>
      </c>
      <c r="F6" s="29">
        <f t="shared" si="0"/>
        <v>39.854988399071921</v>
      </c>
      <c r="G6" s="30">
        <v>30</v>
      </c>
      <c r="H6" s="31">
        <f t="shared" si="1"/>
        <v>100</v>
      </c>
      <c r="I6" s="119"/>
      <c r="K6" s="25"/>
    </row>
    <row r="7" spans="2:15" x14ac:dyDescent="0.3">
      <c r="B7" s="26" t="s">
        <v>541</v>
      </c>
      <c r="C7" s="27">
        <v>0.1376</v>
      </c>
      <c r="D7" s="28">
        <v>0.96</v>
      </c>
      <c r="E7" s="28">
        <v>59.35</v>
      </c>
      <c r="F7" s="29">
        <f t="shared" si="0"/>
        <v>34.425754060324827</v>
      </c>
      <c r="G7" s="30">
        <v>30</v>
      </c>
      <c r="H7" s="31">
        <f t="shared" si="1"/>
        <v>85.5</v>
      </c>
      <c r="I7" s="119"/>
      <c r="K7" s="25"/>
    </row>
    <row r="8" spans="2:15" x14ac:dyDescent="0.3">
      <c r="B8" s="26" t="s">
        <v>542</v>
      </c>
      <c r="C8" s="27">
        <v>7.5200000000000003E-2</v>
      </c>
      <c r="D8" s="28">
        <v>0.8</v>
      </c>
      <c r="E8" s="28">
        <v>48.75</v>
      </c>
      <c r="F8" s="29">
        <f t="shared" si="0"/>
        <v>28.277262180974478</v>
      </c>
      <c r="G8" s="30">
        <v>30</v>
      </c>
      <c r="H8" s="31">
        <f t="shared" si="1"/>
        <v>62.76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549</v>
      </c>
      <c r="D10" s="91" t="s">
        <v>550</v>
      </c>
      <c r="E10" s="91" t="s">
        <v>34</v>
      </c>
      <c r="F10" s="91" t="s">
        <v>551</v>
      </c>
      <c r="G10" s="91" t="s">
        <v>96</v>
      </c>
      <c r="H10" s="91" t="s">
        <v>552</v>
      </c>
      <c r="I10" s="85" t="s">
        <v>98</v>
      </c>
    </row>
    <row r="11" spans="2:15" ht="14.4" customHeight="1" x14ac:dyDescent="0.3">
      <c r="B11" s="26" t="s">
        <v>553</v>
      </c>
      <c r="C11" s="27">
        <v>0.13489999999999999</v>
      </c>
      <c r="D11" s="28">
        <v>1.2</v>
      </c>
      <c r="E11" s="28">
        <v>55.13</v>
      </c>
      <c r="F11" s="29">
        <f t="shared" ref="F11:F16" si="2">E11/1.724</f>
        <v>31.977958236658935</v>
      </c>
      <c r="G11" s="30">
        <v>30</v>
      </c>
      <c r="H11" s="31">
        <f>ROUND(F11*D11*G11*(1-C11)*0.1,2)</f>
        <v>99.59</v>
      </c>
      <c r="I11" s="118" t="s">
        <v>99</v>
      </c>
    </row>
    <row r="12" spans="2:15" x14ac:dyDescent="0.3">
      <c r="B12" s="26" t="s">
        <v>554</v>
      </c>
      <c r="C12" s="27">
        <v>0.12720000000000001</v>
      </c>
      <c r="D12" s="28">
        <v>0.87</v>
      </c>
      <c r="E12" s="28">
        <v>43.1</v>
      </c>
      <c r="F12" s="29">
        <f t="shared" si="2"/>
        <v>25</v>
      </c>
      <c r="G12" s="30">
        <v>30</v>
      </c>
      <c r="H12" s="31">
        <f t="shared" ref="H12:H16" si="3">ROUND(F12*D12*G12*(1-C12)*0.1,2)</f>
        <v>56.95</v>
      </c>
      <c r="I12" s="119"/>
    </row>
    <row r="13" spans="2:15" x14ac:dyDescent="0.3">
      <c r="B13" s="26" t="s">
        <v>555</v>
      </c>
      <c r="C13" s="27">
        <v>0.1326</v>
      </c>
      <c r="D13" s="26">
        <v>1.1100000000000001</v>
      </c>
      <c r="E13" s="26">
        <v>55.92</v>
      </c>
      <c r="F13" s="29">
        <f t="shared" si="2"/>
        <v>32.436194895591647</v>
      </c>
      <c r="G13" s="30">
        <v>30</v>
      </c>
      <c r="H13" s="31">
        <f t="shared" si="3"/>
        <v>93.69</v>
      </c>
      <c r="I13" s="119"/>
    </row>
    <row r="14" spans="2:15" x14ac:dyDescent="0.3">
      <c r="B14" s="26" t="s">
        <v>556</v>
      </c>
      <c r="C14" s="27">
        <v>0.12720000000000001</v>
      </c>
      <c r="D14" s="26">
        <v>1.05</v>
      </c>
      <c r="E14" s="26">
        <v>70.05</v>
      </c>
      <c r="F14" s="29">
        <f t="shared" si="2"/>
        <v>40.632250580046403</v>
      </c>
      <c r="G14" s="30">
        <v>30</v>
      </c>
      <c r="H14" s="31">
        <f t="shared" si="3"/>
        <v>111.71</v>
      </c>
      <c r="I14" s="119"/>
    </row>
    <row r="15" spans="2:15" x14ac:dyDescent="0.3">
      <c r="B15" s="26" t="s">
        <v>557</v>
      </c>
      <c r="C15" s="27">
        <v>9.3100000000000002E-2</v>
      </c>
      <c r="D15" s="28">
        <v>0.94</v>
      </c>
      <c r="E15" s="28">
        <v>60.37</v>
      </c>
      <c r="F15" s="29">
        <f t="shared" si="2"/>
        <v>35.017401392111367</v>
      </c>
      <c r="G15" s="30">
        <v>30</v>
      </c>
      <c r="H15" s="31">
        <f t="shared" si="3"/>
        <v>89.56</v>
      </c>
      <c r="I15" s="119"/>
    </row>
    <row r="16" spans="2:15" x14ac:dyDescent="0.3">
      <c r="B16" s="26" t="s">
        <v>558</v>
      </c>
      <c r="C16" s="27">
        <v>9.5500000000000002E-2</v>
      </c>
      <c r="D16" s="26">
        <v>0.91</v>
      </c>
      <c r="E16" s="26">
        <v>49.56</v>
      </c>
      <c r="F16" s="29">
        <f t="shared" si="2"/>
        <v>28.747099767981439</v>
      </c>
      <c r="G16" s="30">
        <v>30</v>
      </c>
      <c r="H16" s="31">
        <f t="shared" si="3"/>
        <v>70.98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543</v>
      </c>
      <c r="C19" s="26" t="s">
        <v>145</v>
      </c>
      <c r="D19" s="89">
        <v>101.6041144</v>
      </c>
      <c r="E19" s="89">
        <v>38.051162830000003</v>
      </c>
      <c r="F19" s="90" t="s">
        <v>368</v>
      </c>
      <c r="G19" s="70">
        <f t="shared" ref="G19:G24" si="4">H11-H3</f>
        <v>0.79999999999999716</v>
      </c>
    </row>
    <row r="20" spans="2:7" x14ac:dyDescent="0.3">
      <c r="B20" s="26" t="s">
        <v>544</v>
      </c>
      <c r="C20" s="26" t="s">
        <v>146</v>
      </c>
      <c r="D20" s="89">
        <v>99.320698329999999</v>
      </c>
      <c r="E20" s="89">
        <v>38.827431390000001</v>
      </c>
      <c r="F20" s="90" t="s">
        <v>368</v>
      </c>
      <c r="G20" s="70">
        <f t="shared" si="4"/>
        <v>8.07</v>
      </c>
    </row>
    <row r="21" spans="2:7" x14ac:dyDescent="0.3">
      <c r="B21" s="26" t="s">
        <v>545</v>
      </c>
      <c r="C21" s="26" t="s">
        <v>147</v>
      </c>
      <c r="D21" s="89">
        <v>99.298384170000006</v>
      </c>
      <c r="E21" s="89">
        <v>38.853488609999999</v>
      </c>
      <c r="F21" s="90" t="s">
        <v>368</v>
      </c>
      <c r="G21" s="70">
        <f t="shared" si="4"/>
        <v>12.319999999999993</v>
      </c>
    </row>
    <row r="22" spans="2:7" x14ac:dyDescent="0.3">
      <c r="B22" s="26" t="s">
        <v>546</v>
      </c>
      <c r="C22" s="26" t="s">
        <v>148</v>
      </c>
      <c r="D22" s="89">
        <v>101.8173417</v>
      </c>
      <c r="E22" s="89">
        <v>37.85716944</v>
      </c>
      <c r="F22" s="90" t="s">
        <v>368</v>
      </c>
      <c r="G22" s="70">
        <f t="shared" si="4"/>
        <v>11.709999999999994</v>
      </c>
    </row>
    <row r="23" spans="2:7" x14ac:dyDescent="0.3">
      <c r="B23" s="26" t="s">
        <v>547</v>
      </c>
      <c r="C23" s="26" t="s">
        <v>149</v>
      </c>
      <c r="D23" s="89">
        <v>99.892566669999994</v>
      </c>
      <c r="E23" s="89">
        <v>38.81249167</v>
      </c>
      <c r="F23" s="90" t="s">
        <v>368</v>
      </c>
      <c r="G23" s="70">
        <f t="shared" si="4"/>
        <v>4.0600000000000023</v>
      </c>
    </row>
    <row r="24" spans="2:7" x14ac:dyDescent="0.3">
      <c r="B24" s="26" t="s">
        <v>548</v>
      </c>
      <c r="C24" s="26" t="s">
        <v>150</v>
      </c>
      <c r="D24" s="89">
        <v>99.983783329999994</v>
      </c>
      <c r="E24" s="89">
        <v>38.758625000000002</v>
      </c>
      <c r="F24" s="90" t="s">
        <v>368</v>
      </c>
      <c r="G24" s="70">
        <f t="shared" si="4"/>
        <v>8.220000000000006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7.53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4.0521187873341837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1.6542705676856824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9D02-DF87-44A5-9625-072A2BFF531B}">
  <dimension ref="B2:O27"/>
  <sheetViews>
    <sheetView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385</v>
      </c>
      <c r="D2" s="91" t="s">
        <v>386</v>
      </c>
      <c r="E2" s="91" t="s">
        <v>34</v>
      </c>
      <c r="F2" s="91" t="s">
        <v>387</v>
      </c>
      <c r="G2" s="91" t="s">
        <v>96</v>
      </c>
      <c r="H2" s="91" t="s">
        <v>388</v>
      </c>
      <c r="I2" s="91" t="s">
        <v>98</v>
      </c>
    </row>
    <row r="3" spans="2:15" ht="13.25" customHeight="1" x14ac:dyDescent="0.3">
      <c r="B3" s="26" t="s">
        <v>389</v>
      </c>
      <c r="C3" s="27">
        <v>0.13070000000000001</v>
      </c>
      <c r="D3" s="28">
        <v>0.96</v>
      </c>
      <c r="E3" s="28">
        <v>56.84</v>
      </c>
      <c r="F3" s="29">
        <f>E3/1.724</f>
        <v>32.969837587006964</v>
      </c>
      <c r="G3" s="30">
        <v>30</v>
      </c>
      <c r="H3" s="31">
        <f>ROUND(F3*D3*G3*(1-C3)*0.1,2)</f>
        <v>82.54</v>
      </c>
      <c r="I3" s="118" t="s">
        <v>99</v>
      </c>
      <c r="K3" s="25"/>
    </row>
    <row r="4" spans="2:15" x14ac:dyDescent="0.3">
      <c r="B4" s="26" t="s">
        <v>390</v>
      </c>
      <c r="C4" s="27">
        <v>0.15479999999999999</v>
      </c>
      <c r="D4" s="28">
        <v>1.06</v>
      </c>
      <c r="E4" s="28">
        <v>48.59</v>
      </c>
      <c r="F4" s="29">
        <f t="shared" ref="F4:F8" si="0">E4/1.724</f>
        <v>28.184454756380514</v>
      </c>
      <c r="G4" s="30">
        <v>30</v>
      </c>
      <c r="H4" s="31">
        <f t="shared" ref="H4:H8" si="1">ROUND(F4*D4*G4*(1-C4)*0.1,2)</f>
        <v>75.75</v>
      </c>
      <c r="I4" s="119"/>
      <c r="K4" s="25"/>
    </row>
    <row r="5" spans="2:15" x14ac:dyDescent="0.3">
      <c r="B5" s="26" t="s">
        <v>391</v>
      </c>
      <c r="C5" s="27">
        <v>0.16489999999999999</v>
      </c>
      <c r="D5" s="28">
        <v>1.02</v>
      </c>
      <c r="E5" s="28">
        <v>57.42</v>
      </c>
      <c r="F5" s="29">
        <f t="shared" si="0"/>
        <v>33.306264501160094</v>
      </c>
      <c r="G5" s="30">
        <v>30</v>
      </c>
      <c r="H5" s="31">
        <f t="shared" si="1"/>
        <v>85.11</v>
      </c>
      <c r="I5" s="119"/>
      <c r="K5" s="25"/>
    </row>
    <row r="6" spans="2:15" x14ac:dyDescent="0.3">
      <c r="B6" s="26" t="s">
        <v>392</v>
      </c>
      <c r="C6" s="27">
        <v>0.18290000000000001</v>
      </c>
      <c r="D6" s="28">
        <v>1.07</v>
      </c>
      <c r="E6" s="28">
        <v>39.479999999999997</v>
      </c>
      <c r="F6" s="29">
        <f t="shared" si="0"/>
        <v>22.900232018561482</v>
      </c>
      <c r="G6" s="30">
        <v>30</v>
      </c>
      <c r="H6" s="31">
        <f t="shared" si="1"/>
        <v>60.06</v>
      </c>
      <c r="I6" s="119"/>
      <c r="K6" s="25"/>
    </row>
    <row r="7" spans="2:15" x14ac:dyDescent="0.3">
      <c r="B7" s="26" t="s">
        <v>393</v>
      </c>
      <c r="C7" s="27">
        <v>0.1623</v>
      </c>
      <c r="D7" s="28">
        <v>0.92</v>
      </c>
      <c r="E7" s="28">
        <v>44.34</v>
      </c>
      <c r="F7" s="29">
        <f t="shared" si="0"/>
        <v>25.719257540603252</v>
      </c>
      <c r="G7" s="30">
        <v>30</v>
      </c>
      <c r="H7" s="31">
        <f t="shared" si="1"/>
        <v>59.46</v>
      </c>
      <c r="I7" s="119"/>
      <c r="K7" s="25"/>
    </row>
    <row r="8" spans="2:15" x14ac:dyDescent="0.3">
      <c r="B8" s="26" t="s">
        <v>394</v>
      </c>
      <c r="C8" s="27">
        <v>0.16250000000000001</v>
      </c>
      <c r="D8" s="28">
        <v>0.9</v>
      </c>
      <c r="E8" s="28">
        <v>66.36</v>
      </c>
      <c r="F8" s="29">
        <f t="shared" si="0"/>
        <v>38.491879350348029</v>
      </c>
      <c r="G8" s="30">
        <v>30</v>
      </c>
      <c r="H8" s="31">
        <f t="shared" si="1"/>
        <v>87.04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395</v>
      </c>
      <c r="D10" s="91" t="s">
        <v>396</v>
      </c>
      <c r="E10" s="91" t="s">
        <v>34</v>
      </c>
      <c r="F10" s="91" t="s">
        <v>397</v>
      </c>
      <c r="G10" s="91" t="s">
        <v>96</v>
      </c>
      <c r="H10" s="91" t="s">
        <v>398</v>
      </c>
      <c r="I10" s="91" t="s">
        <v>98</v>
      </c>
    </row>
    <row r="11" spans="2:15" ht="14.4" customHeight="1" x14ac:dyDescent="0.3">
      <c r="B11" s="26" t="s">
        <v>399</v>
      </c>
      <c r="C11" s="27">
        <v>0.13109999999999999</v>
      </c>
      <c r="D11" s="28">
        <v>0.93</v>
      </c>
      <c r="E11" s="28">
        <v>59.73</v>
      </c>
      <c r="F11" s="29">
        <f t="shared" ref="F11:F16" si="2">E11/1.724</f>
        <v>34.646171693735496</v>
      </c>
      <c r="G11" s="30">
        <v>30</v>
      </c>
      <c r="H11" s="31">
        <f>ROUND(F11*D11*G11*(1-C11)*0.1,2)</f>
        <v>83.99</v>
      </c>
      <c r="I11" s="118" t="s">
        <v>99</v>
      </c>
    </row>
    <row r="12" spans="2:15" x14ac:dyDescent="0.3">
      <c r="B12" s="26" t="s">
        <v>400</v>
      </c>
      <c r="C12" s="27">
        <v>0.15670000000000001</v>
      </c>
      <c r="D12" s="28">
        <v>1.05</v>
      </c>
      <c r="E12" s="28">
        <v>53.48</v>
      </c>
      <c r="F12" s="29">
        <f t="shared" si="2"/>
        <v>31.02088167053364</v>
      </c>
      <c r="G12" s="30">
        <v>30</v>
      </c>
      <c r="H12" s="31">
        <f t="shared" ref="H12:H16" si="3">ROUND(F12*D12*G12*(1-C12)*0.1,2)</f>
        <v>82.4</v>
      </c>
      <c r="I12" s="119"/>
    </row>
    <row r="13" spans="2:15" x14ac:dyDescent="0.3">
      <c r="B13" s="26" t="s">
        <v>401</v>
      </c>
      <c r="C13" s="27">
        <v>0.1389</v>
      </c>
      <c r="D13" s="26">
        <v>1.1200000000000001</v>
      </c>
      <c r="E13" s="26">
        <v>60.51</v>
      </c>
      <c r="F13" s="29">
        <f t="shared" si="2"/>
        <v>35.098607888631086</v>
      </c>
      <c r="G13" s="30">
        <v>30</v>
      </c>
      <c r="H13" s="31">
        <f t="shared" si="3"/>
        <v>101.55</v>
      </c>
      <c r="I13" s="119"/>
    </row>
    <row r="14" spans="2:15" x14ac:dyDescent="0.3">
      <c r="B14" s="26" t="s">
        <v>402</v>
      </c>
      <c r="C14" s="27">
        <v>9.0899999999999995E-2</v>
      </c>
      <c r="D14" s="26">
        <v>1.06</v>
      </c>
      <c r="E14" s="26">
        <v>39.92</v>
      </c>
      <c r="F14" s="29">
        <f t="shared" si="2"/>
        <v>23.155452436194896</v>
      </c>
      <c r="G14" s="30">
        <v>30</v>
      </c>
      <c r="H14" s="31">
        <f t="shared" si="3"/>
        <v>66.94</v>
      </c>
      <c r="I14" s="119"/>
    </row>
    <row r="15" spans="2:15" x14ac:dyDescent="0.3">
      <c r="B15" s="26" t="s">
        <v>403</v>
      </c>
      <c r="C15" s="27">
        <v>0.1724</v>
      </c>
      <c r="D15" s="28">
        <v>0.95</v>
      </c>
      <c r="E15" s="28">
        <v>45.37</v>
      </c>
      <c r="F15" s="29">
        <f t="shared" si="2"/>
        <v>26.316705336426914</v>
      </c>
      <c r="G15" s="30">
        <v>30</v>
      </c>
      <c r="H15" s="31">
        <f t="shared" si="3"/>
        <v>62.07</v>
      </c>
      <c r="I15" s="119"/>
    </row>
    <row r="16" spans="2:15" x14ac:dyDescent="0.3">
      <c r="B16" s="26" t="s">
        <v>404</v>
      </c>
      <c r="C16" s="27">
        <v>0.15640000000000001</v>
      </c>
      <c r="D16" s="26">
        <v>0.96</v>
      </c>
      <c r="E16" s="26">
        <v>68.27</v>
      </c>
      <c r="F16" s="29">
        <f t="shared" si="2"/>
        <v>39.599767981438511</v>
      </c>
      <c r="G16" s="30">
        <v>30</v>
      </c>
      <c r="H16" s="31">
        <f t="shared" si="3"/>
        <v>96.21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405</v>
      </c>
      <c r="C19" s="26" t="s">
        <v>145</v>
      </c>
      <c r="D19" s="89">
        <v>100.9739489</v>
      </c>
      <c r="E19" s="89">
        <v>38.230080510000001</v>
      </c>
      <c r="F19" s="90" t="s">
        <v>257</v>
      </c>
      <c r="G19" s="70">
        <f t="shared" ref="G19:G24" si="4">H11-H3</f>
        <v>1.4499999999999886</v>
      </c>
    </row>
    <row r="20" spans="2:7" x14ac:dyDescent="0.3">
      <c r="B20" s="26" t="s">
        <v>406</v>
      </c>
      <c r="C20" s="26" t="s">
        <v>146</v>
      </c>
      <c r="D20" s="89">
        <v>101.2661619</v>
      </c>
      <c r="E20" s="89">
        <v>38.227796089999998</v>
      </c>
      <c r="F20" s="90" t="s">
        <v>257</v>
      </c>
      <c r="G20" s="70">
        <f t="shared" si="4"/>
        <v>6.6500000000000057</v>
      </c>
    </row>
    <row r="21" spans="2:7" x14ac:dyDescent="0.3">
      <c r="B21" s="26" t="s">
        <v>407</v>
      </c>
      <c r="C21" s="26" t="s">
        <v>147</v>
      </c>
      <c r="D21" s="89">
        <v>101.2893409</v>
      </c>
      <c r="E21" s="89">
        <v>38.291076609999998</v>
      </c>
      <c r="F21" s="90" t="s">
        <v>257</v>
      </c>
      <c r="G21" s="70">
        <f t="shared" si="4"/>
        <v>16.439999999999998</v>
      </c>
    </row>
    <row r="22" spans="2:7" x14ac:dyDescent="0.3">
      <c r="B22" s="26" t="s">
        <v>408</v>
      </c>
      <c r="C22" s="26" t="s">
        <v>148</v>
      </c>
      <c r="D22" s="89">
        <v>101.31820519999999</v>
      </c>
      <c r="E22" s="89">
        <v>38.286305040000002</v>
      </c>
      <c r="F22" s="90" t="s">
        <v>257</v>
      </c>
      <c r="G22" s="70">
        <f t="shared" si="4"/>
        <v>6.8799999999999955</v>
      </c>
    </row>
    <row r="23" spans="2:7" x14ac:dyDescent="0.3">
      <c r="B23" s="26" t="s">
        <v>409</v>
      </c>
      <c r="C23" s="26" t="s">
        <v>149</v>
      </c>
      <c r="D23" s="89">
        <v>99.41890343</v>
      </c>
      <c r="E23" s="89">
        <v>38.957605139999998</v>
      </c>
      <c r="F23" s="90" t="s">
        <v>257</v>
      </c>
      <c r="G23" s="70">
        <f t="shared" si="4"/>
        <v>2.6099999999999994</v>
      </c>
    </row>
    <row r="24" spans="2:7" x14ac:dyDescent="0.3">
      <c r="B24" s="26" t="s">
        <v>410</v>
      </c>
      <c r="C24" s="26" t="s">
        <v>150</v>
      </c>
      <c r="D24" s="89">
        <v>99.886922220000002</v>
      </c>
      <c r="E24" s="89">
        <v>38.89697778</v>
      </c>
      <c r="F24" s="90" t="s">
        <v>257</v>
      </c>
      <c r="G24" s="70">
        <f t="shared" si="4"/>
        <v>9.1699999999999875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7.2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4.89547410029577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1.9985689324558662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664F-B4CE-455A-8132-56CC7BB8E261}">
  <dimension ref="B2:O36"/>
  <sheetViews>
    <sheetView workbookViewId="0">
      <selection activeCell="B2" sqref="B2:H11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8.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411</v>
      </c>
      <c r="D2" s="91" t="s">
        <v>412</v>
      </c>
      <c r="E2" s="91" t="s">
        <v>34</v>
      </c>
      <c r="F2" s="91" t="s">
        <v>413</v>
      </c>
      <c r="G2" s="91" t="s">
        <v>96</v>
      </c>
      <c r="H2" s="91" t="s">
        <v>414</v>
      </c>
      <c r="I2" s="85" t="s">
        <v>98</v>
      </c>
    </row>
    <row r="3" spans="2:15" ht="13.25" customHeight="1" x14ac:dyDescent="0.3">
      <c r="B3" s="26" t="s">
        <v>415</v>
      </c>
      <c r="C3" s="27">
        <v>0.159</v>
      </c>
      <c r="D3" s="31">
        <v>1.1399999999999999</v>
      </c>
      <c r="E3" s="28">
        <v>58.41</v>
      </c>
      <c r="F3" s="29">
        <f>E3/1.724</f>
        <v>33.880510440835266</v>
      </c>
      <c r="G3" s="30">
        <v>30</v>
      </c>
      <c r="H3" s="31">
        <f>ROUND(F3*D3*G3*(1-C3)*0.1,2)</f>
        <v>97.45</v>
      </c>
      <c r="I3" s="118" t="s">
        <v>99</v>
      </c>
      <c r="K3" s="25"/>
    </row>
    <row r="4" spans="2:15" x14ac:dyDescent="0.3">
      <c r="B4" s="26" t="s">
        <v>416</v>
      </c>
      <c r="C4" s="27">
        <v>0.1641</v>
      </c>
      <c r="D4" s="28">
        <v>1.1499999999999999</v>
      </c>
      <c r="E4" s="28">
        <v>52.13</v>
      </c>
      <c r="F4" s="29">
        <f t="shared" ref="F4:F11" si="0">E4/1.724</f>
        <v>30.237819025522043</v>
      </c>
      <c r="G4" s="30">
        <v>30</v>
      </c>
      <c r="H4" s="31">
        <f t="shared" ref="H4:H11" si="1">ROUND(F4*D4*G4*(1-C4)*0.1,2)</f>
        <v>87.2</v>
      </c>
      <c r="I4" s="119"/>
      <c r="K4" s="25"/>
    </row>
    <row r="5" spans="2:15" x14ac:dyDescent="0.3">
      <c r="B5" s="26" t="s">
        <v>417</v>
      </c>
      <c r="C5" s="27">
        <v>0.15010000000000001</v>
      </c>
      <c r="D5" s="28">
        <v>1.0900000000000001</v>
      </c>
      <c r="E5" s="28">
        <v>66.31</v>
      </c>
      <c r="F5" s="29">
        <f t="shared" si="0"/>
        <v>38.462877030162417</v>
      </c>
      <c r="G5" s="30">
        <v>30</v>
      </c>
      <c r="H5" s="31">
        <f t="shared" si="1"/>
        <v>106.89</v>
      </c>
      <c r="I5" s="119"/>
      <c r="K5" s="25"/>
    </row>
    <row r="6" spans="2:15" x14ac:dyDescent="0.3">
      <c r="B6" s="26" t="s">
        <v>418</v>
      </c>
      <c r="C6" s="27">
        <v>9.4600000000000004E-2</v>
      </c>
      <c r="D6" s="28">
        <v>1.1100000000000001</v>
      </c>
      <c r="E6" s="28">
        <v>61.36</v>
      </c>
      <c r="F6" s="29">
        <f t="shared" si="0"/>
        <v>35.59164733178654</v>
      </c>
      <c r="G6" s="30">
        <v>30</v>
      </c>
      <c r="H6" s="31">
        <f t="shared" si="1"/>
        <v>107.31</v>
      </c>
      <c r="I6" s="119"/>
      <c r="K6" s="25"/>
    </row>
    <row r="7" spans="2:15" x14ac:dyDescent="0.3">
      <c r="B7" s="26" t="s">
        <v>419</v>
      </c>
      <c r="C7" s="27">
        <v>0.13789999999999999</v>
      </c>
      <c r="D7" s="28">
        <v>1.17</v>
      </c>
      <c r="E7" s="28">
        <v>56.2</v>
      </c>
      <c r="F7" s="29">
        <f t="shared" si="0"/>
        <v>32.598607888631093</v>
      </c>
      <c r="G7" s="30">
        <v>30</v>
      </c>
      <c r="H7" s="31">
        <f t="shared" si="1"/>
        <v>98.64</v>
      </c>
      <c r="I7" s="119"/>
      <c r="K7" s="25"/>
    </row>
    <row r="8" spans="2:15" x14ac:dyDescent="0.3">
      <c r="B8" s="26" t="s">
        <v>420</v>
      </c>
      <c r="C8" s="27">
        <v>0.105</v>
      </c>
      <c r="D8" s="28">
        <v>1.1100000000000001</v>
      </c>
      <c r="E8" s="28">
        <v>53.01</v>
      </c>
      <c r="F8" s="29">
        <f t="shared" si="0"/>
        <v>30.748259860788863</v>
      </c>
      <c r="G8" s="30">
        <v>30</v>
      </c>
      <c r="H8" s="31">
        <f t="shared" si="1"/>
        <v>91.64</v>
      </c>
      <c r="I8" s="119"/>
      <c r="K8" s="25"/>
    </row>
    <row r="9" spans="2:15" x14ac:dyDescent="0.3">
      <c r="B9" s="26" t="s">
        <v>421</v>
      </c>
      <c r="C9" s="27">
        <v>0.15920000000000001</v>
      </c>
      <c r="D9" s="28">
        <v>0.96</v>
      </c>
      <c r="E9" s="28">
        <v>51.1</v>
      </c>
      <c r="F9" s="29">
        <f t="shared" si="0"/>
        <v>29.640371229698378</v>
      </c>
      <c r="G9" s="30">
        <v>30</v>
      </c>
      <c r="H9" s="31">
        <f t="shared" si="1"/>
        <v>71.77</v>
      </c>
      <c r="I9" s="119"/>
      <c r="K9" s="25"/>
    </row>
    <row r="10" spans="2:15" x14ac:dyDescent="0.3">
      <c r="B10" s="26" t="s">
        <v>422</v>
      </c>
      <c r="C10" s="27">
        <v>0.14219999999999999</v>
      </c>
      <c r="D10" s="28">
        <v>1.03</v>
      </c>
      <c r="E10" s="28">
        <v>49.22</v>
      </c>
      <c r="F10" s="29">
        <f t="shared" si="0"/>
        <v>28.549883990719259</v>
      </c>
      <c r="G10" s="30">
        <v>30</v>
      </c>
      <c r="H10" s="31">
        <f t="shared" si="1"/>
        <v>75.67</v>
      </c>
      <c r="I10" s="119"/>
      <c r="K10" s="25"/>
    </row>
    <row r="11" spans="2:15" x14ac:dyDescent="0.3">
      <c r="B11" s="26" t="s">
        <v>423</v>
      </c>
      <c r="C11" s="27">
        <v>0.1431</v>
      </c>
      <c r="D11" s="28">
        <v>1.1499999999999999</v>
      </c>
      <c r="E11" s="28">
        <v>56.78</v>
      </c>
      <c r="F11" s="29">
        <f t="shared" si="0"/>
        <v>32.935034802784223</v>
      </c>
      <c r="G11" s="30">
        <v>30</v>
      </c>
      <c r="H11" s="31">
        <f t="shared" si="1"/>
        <v>97.37</v>
      </c>
      <c r="I11" s="119"/>
      <c r="K11" s="25"/>
    </row>
    <row r="12" spans="2:15" ht="14" customHeight="1" x14ac:dyDescent="0.3">
      <c r="O12" s="33"/>
    </row>
    <row r="13" spans="2:15" ht="16" x14ac:dyDescent="0.3">
      <c r="B13" s="91" t="s">
        <v>33</v>
      </c>
      <c r="C13" s="91" t="s">
        <v>424</v>
      </c>
      <c r="D13" s="91" t="s">
        <v>425</v>
      </c>
      <c r="E13" s="91" t="s">
        <v>34</v>
      </c>
      <c r="F13" s="91" t="s">
        <v>426</v>
      </c>
      <c r="G13" s="91" t="s">
        <v>96</v>
      </c>
      <c r="H13" s="91" t="s">
        <v>427</v>
      </c>
      <c r="I13" s="85" t="s">
        <v>98</v>
      </c>
    </row>
    <row r="14" spans="2:15" ht="14.4" customHeight="1" x14ac:dyDescent="0.3">
      <c r="B14" s="26" t="s">
        <v>428</v>
      </c>
      <c r="C14" s="27">
        <v>9.4500000000000001E-2</v>
      </c>
      <c r="D14" s="28">
        <v>1.1000000000000001</v>
      </c>
      <c r="E14" s="28">
        <v>60.21</v>
      </c>
      <c r="F14" s="29">
        <f>E14/1.724</f>
        <v>34.924593967517403</v>
      </c>
      <c r="G14" s="30">
        <v>30</v>
      </c>
      <c r="H14" s="31">
        <f>ROUND(F14*D14*G14*(1-C14)*0.1,2)</f>
        <v>104.36</v>
      </c>
      <c r="I14" s="118" t="s">
        <v>99</v>
      </c>
    </row>
    <row r="15" spans="2:15" x14ac:dyDescent="0.3">
      <c r="B15" s="26" t="s">
        <v>429</v>
      </c>
      <c r="C15" s="27">
        <v>0.1381</v>
      </c>
      <c r="D15" s="31">
        <v>1.18</v>
      </c>
      <c r="E15" s="28">
        <v>55.04</v>
      </c>
      <c r="F15" s="29">
        <f t="shared" ref="F15:F22" si="2">E15/1.724</f>
        <v>31.925754060324827</v>
      </c>
      <c r="G15" s="30">
        <v>30</v>
      </c>
      <c r="H15" s="31">
        <f t="shared" ref="H15:H22" si="3">ROUND(F15*D15*G15*(1-C15)*0.1,2)</f>
        <v>97.41</v>
      </c>
      <c r="I15" s="119"/>
    </row>
    <row r="16" spans="2:15" x14ac:dyDescent="0.3">
      <c r="B16" s="26" t="s">
        <v>430</v>
      </c>
      <c r="C16" s="27">
        <v>0.14219999999999999</v>
      </c>
      <c r="D16" s="31">
        <v>1.1100000000000001</v>
      </c>
      <c r="E16" s="26">
        <v>74.010000000000005</v>
      </c>
      <c r="F16" s="29">
        <f t="shared" si="2"/>
        <v>42.929234338747101</v>
      </c>
      <c r="G16" s="30">
        <v>30</v>
      </c>
      <c r="H16" s="31">
        <f t="shared" si="3"/>
        <v>122.63</v>
      </c>
      <c r="I16" s="119"/>
    </row>
    <row r="17" spans="2:9" x14ac:dyDescent="0.3">
      <c r="B17" s="26" t="s">
        <v>431</v>
      </c>
      <c r="C17" s="27">
        <v>9.1300000000000006E-2</v>
      </c>
      <c r="D17" s="31">
        <v>1.1399999999999999</v>
      </c>
      <c r="E17" s="26">
        <v>62.96</v>
      </c>
      <c r="F17" s="29">
        <f t="shared" si="2"/>
        <v>36.519721577726216</v>
      </c>
      <c r="G17" s="30">
        <v>30</v>
      </c>
      <c r="H17" s="31">
        <f t="shared" si="3"/>
        <v>113.49</v>
      </c>
      <c r="I17" s="119"/>
    </row>
    <row r="18" spans="2:9" x14ac:dyDescent="0.3">
      <c r="B18" s="26" t="s">
        <v>432</v>
      </c>
      <c r="C18" s="27">
        <v>0.14829999999999999</v>
      </c>
      <c r="D18" s="31">
        <v>1.19</v>
      </c>
      <c r="E18" s="26">
        <v>58.22</v>
      </c>
      <c r="F18" s="29">
        <f t="shared" si="2"/>
        <v>33.770301624129928</v>
      </c>
      <c r="G18" s="30">
        <v>30</v>
      </c>
      <c r="H18" s="31">
        <f t="shared" si="3"/>
        <v>102.68</v>
      </c>
      <c r="I18" s="119"/>
    </row>
    <row r="19" spans="2:9" x14ac:dyDescent="0.3">
      <c r="B19" s="26" t="s">
        <v>433</v>
      </c>
      <c r="C19" s="27">
        <v>9.3399999999999997E-2</v>
      </c>
      <c r="D19" s="31">
        <v>1.17</v>
      </c>
      <c r="E19" s="26">
        <v>59.37</v>
      </c>
      <c r="F19" s="29">
        <f t="shared" si="2"/>
        <v>34.437354988399072</v>
      </c>
      <c r="G19" s="30">
        <v>30</v>
      </c>
      <c r="H19" s="31">
        <f t="shared" si="3"/>
        <v>109.59</v>
      </c>
      <c r="I19" s="119"/>
    </row>
    <row r="20" spans="2:9" x14ac:dyDescent="0.3">
      <c r="B20" s="26" t="s">
        <v>434</v>
      </c>
      <c r="C20" s="27">
        <v>0.1321</v>
      </c>
      <c r="D20" s="31">
        <v>0.93</v>
      </c>
      <c r="E20" s="26">
        <v>55.37</v>
      </c>
      <c r="F20" s="29">
        <f t="shared" si="2"/>
        <v>32.117169373549885</v>
      </c>
      <c r="G20" s="30">
        <v>30</v>
      </c>
      <c r="H20" s="31">
        <f t="shared" si="3"/>
        <v>77.77</v>
      </c>
      <c r="I20" s="119"/>
    </row>
    <row r="21" spans="2:9" x14ac:dyDescent="0.3">
      <c r="B21" s="26" t="s">
        <v>435</v>
      </c>
      <c r="C21" s="27">
        <v>0.15590000000000001</v>
      </c>
      <c r="D21" s="31">
        <v>1.04</v>
      </c>
      <c r="E21" s="26">
        <v>51.45</v>
      </c>
      <c r="F21" s="29">
        <f t="shared" si="2"/>
        <v>29.843387470997683</v>
      </c>
      <c r="G21" s="30">
        <v>30</v>
      </c>
      <c r="H21" s="31">
        <f t="shared" si="3"/>
        <v>78.599999999999994</v>
      </c>
      <c r="I21" s="119"/>
    </row>
    <row r="22" spans="2:9" x14ac:dyDescent="0.3">
      <c r="B22" s="26" t="s">
        <v>436</v>
      </c>
      <c r="C22" s="27">
        <v>0.12740000000000001</v>
      </c>
      <c r="D22" s="31">
        <v>1.17</v>
      </c>
      <c r="E22" s="26">
        <v>58.51</v>
      </c>
      <c r="F22" s="29">
        <f t="shared" si="2"/>
        <v>33.938515081206496</v>
      </c>
      <c r="G22" s="30">
        <v>30</v>
      </c>
      <c r="H22" s="31">
        <f t="shared" si="3"/>
        <v>103.95</v>
      </c>
      <c r="I22" s="119"/>
    </row>
    <row r="24" spans="2:9" ht="15" x14ac:dyDescent="0.3">
      <c r="B24" s="47" t="s">
        <v>33</v>
      </c>
      <c r="C24" s="47" t="s">
        <v>37</v>
      </c>
      <c r="D24" s="79" t="s">
        <v>141</v>
      </c>
      <c r="E24" s="79" t="s">
        <v>142</v>
      </c>
      <c r="F24" s="79" t="s">
        <v>143</v>
      </c>
      <c r="G24" s="47" t="s">
        <v>144</v>
      </c>
    </row>
    <row r="25" spans="2:9" x14ac:dyDescent="0.3">
      <c r="B25" s="26" t="s">
        <v>437</v>
      </c>
      <c r="C25" s="26" t="s">
        <v>367</v>
      </c>
      <c r="D25" s="89">
        <v>100.9198944</v>
      </c>
      <c r="E25" s="89">
        <v>38.650527779999997</v>
      </c>
      <c r="F25" s="90" t="s">
        <v>368</v>
      </c>
      <c r="G25" s="70">
        <f t="shared" ref="G25:G33" si="4">H14-H3</f>
        <v>6.9099999999999966</v>
      </c>
    </row>
    <row r="26" spans="2:9" x14ac:dyDescent="0.3">
      <c r="B26" s="26" t="s">
        <v>438</v>
      </c>
      <c r="C26" s="26" t="s">
        <v>370</v>
      </c>
      <c r="D26" s="89">
        <v>100.8324472</v>
      </c>
      <c r="E26" s="89">
        <v>38.727272220000003</v>
      </c>
      <c r="F26" s="90" t="s">
        <v>368</v>
      </c>
      <c r="G26" s="70">
        <f t="shared" si="4"/>
        <v>10.209999999999994</v>
      </c>
    </row>
    <row r="27" spans="2:9" x14ac:dyDescent="0.3">
      <c r="B27" s="26" t="s">
        <v>439</v>
      </c>
      <c r="C27" s="26" t="s">
        <v>372</v>
      </c>
      <c r="D27" s="89">
        <v>101.0488667</v>
      </c>
      <c r="E27" s="89">
        <v>38.262050000000002</v>
      </c>
      <c r="F27" s="90" t="s">
        <v>368</v>
      </c>
      <c r="G27" s="70">
        <f t="shared" si="4"/>
        <v>15.739999999999995</v>
      </c>
    </row>
    <row r="28" spans="2:9" x14ac:dyDescent="0.3">
      <c r="B28" s="26" t="s">
        <v>440</v>
      </c>
      <c r="C28" s="26" t="s">
        <v>374</v>
      </c>
      <c r="D28" s="89">
        <v>101.04619719999999</v>
      </c>
      <c r="E28" s="89">
        <v>38.273944440000001</v>
      </c>
      <c r="F28" s="90" t="s">
        <v>368</v>
      </c>
      <c r="G28" s="70">
        <f t="shared" si="4"/>
        <v>6.1799999999999926</v>
      </c>
    </row>
    <row r="29" spans="2:9" x14ac:dyDescent="0.3">
      <c r="B29" s="26" t="s">
        <v>441</v>
      </c>
      <c r="C29" s="26" t="s">
        <v>376</v>
      </c>
      <c r="D29" s="89">
        <v>101.05748060000001</v>
      </c>
      <c r="E29" s="89">
        <v>38.242191669999997</v>
      </c>
      <c r="F29" s="90" t="s">
        <v>368</v>
      </c>
      <c r="G29" s="70">
        <f t="shared" si="4"/>
        <v>4.0400000000000063</v>
      </c>
    </row>
    <row r="30" spans="2:9" x14ac:dyDescent="0.3">
      <c r="B30" s="26" t="s">
        <v>442</v>
      </c>
      <c r="C30" s="26" t="s">
        <v>378</v>
      </c>
      <c r="D30" s="89">
        <v>101.2712401</v>
      </c>
      <c r="E30" s="89">
        <v>38.203647930000002</v>
      </c>
      <c r="F30" s="90" t="s">
        <v>368</v>
      </c>
      <c r="G30" s="70">
        <f t="shared" si="4"/>
        <v>17.950000000000003</v>
      </c>
    </row>
    <row r="31" spans="2:9" x14ac:dyDescent="0.3">
      <c r="B31" s="26" t="s">
        <v>443</v>
      </c>
      <c r="C31" s="26" t="s">
        <v>380</v>
      </c>
      <c r="D31" s="89">
        <v>101.2600053</v>
      </c>
      <c r="E31" s="89">
        <v>38.28070031</v>
      </c>
      <c r="F31" s="90" t="s">
        <v>368</v>
      </c>
      <c r="G31" s="70">
        <f t="shared" si="4"/>
        <v>6</v>
      </c>
    </row>
    <row r="32" spans="2:9" x14ac:dyDescent="0.3">
      <c r="B32" s="26" t="s">
        <v>444</v>
      </c>
      <c r="C32" s="26" t="s">
        <v>382</v>
      </c>
      <c r="D32" s="89">
        <v>101.2232917</v>
      </c>
      <c r="E32" s="89">
        <v>38.829186110000002</v>
      </c>
      <c r="F32" s="90" t="s">
        <v>368</v>
      </c>
      <c r="G32" s="70">
        <f t="shared" si="4"/>
        <v>2.9299999999999926</v>
      </c>
    </row>
    <row r="33" spans="2:7" x14ac:dyDescent="0.3">
      <c r="B33" s="26" t="s">
        <v>445</v>
      </c>
      <c r="C33" s="26" t="s">
        <v>384</v>
      </c>
      <c r="D33" s="89">
        <v>99.412612330000002</v>
      </c>
      <c r="E33" s="89">
        <v>38.990721819999997</v>
      </c>
      <c r="F33" s="90" t="s">
        <v>368</v>
      </c>
      <c r="G33" s="70">
        <f t="shared" si="4"/>
        <v>6.5799999999999983</v>
      </c>
    </row>
    <row r="34" spans="2:7" ht="13" x14ac:dyDescent="0.3">
      <c r="B34" s="3"/>
      <c r="C34" s="73"/>
      <c r="D34" s="3"/>
      <c r="E34" s="3"/>
      <c r="F34" s="15" t="s">
        <v>151</v>
      </c>
      <c r="G34" s="74">
        <f>ROUND(AVERAGE(G25:G33),2)</f>
        <v>8.5</v>
      </c>
    </row>
    <row r="35" spans="2:7" ht="13" x14ac:dyDescent="0.3">
      <c r="B35" s="3"/>
      <c r="C35" s="73"/>
      <c r="D35" s="3"/>
      <c r="E35" s="3"/>
      <c r="F35" s="15" t="s">
        <v>152</v>
      </c>
      <c r="G35" s="74">
        <f>STDEVP(G25:G33)</f>
        <v>4.8694903021229168</v>
      </c>
    </row>
    <row r="36" spans="2:7" ht="13" x14ac:dyDescent="0.3">
      <c r="B36" s="3"/>
      <c r="C36" s="73"/>
      <c r="D36" s="3"/>
      <c r="E36" s="3"/>
      <c r="F36" s="15" t="s">
        <v>134</v>
      </c>
      <c r="G36" s="74">
        <f>G35/SQRT(COUNT(G25:G33))</f>
        <v>1.6231634340409722</v>
      </c>
    </row>
  </sheetData>
  <mergeCells count="2">
    <mergeCell ref="I3:I11"/>
    <mergeCell ref="I14:I22"/>
  </mergeCells>
  <phoneticPr fontId="2" type="noConversion"/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6F04-5FF4-4D02-82DE-77532990B245}">
  <dimension ref="B2:O27"/>
  <sheetViews>
    <sheetView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28" x14ac:dyDescent="0.3">
      <c r="B2" s="91" t="s">
        <v>33</v>
      </c>
      <c r="C2" s="91" t="s">
        <v>446</v>
      </c>
      <c r="D2" s="91" t="s">
        <v>447</v>
      </c>
      <c r="E2" s="91" t="s">
        <v>34</v>
      </c>
      <c r="F2" s="91" t="s">
        <v>448</v>
      </c>
      <c r="G2" s="91" t="s">
        <v>96</v>
      </c>
      <c r="H2" s="91" t="s">
        <v>449</v>
      </c>
      <c r="I2" s="85" t="s">
        <v>98</v>
      </c>
    </row>
    <row r="3" spans="2:15" ht="13.25" customHeight="1" x14ac:dyDescent="0.3">
      <c r="B3" s="26" t="s">
        <v>450</v>
      </c>
      <c r="C3" s="27">
        <v>9.6600000000000005E-2</v>
      </c>
      <c r="D3" s="28">
        <v>1.08</v>
      </c>
      <c r="E3" s="28">
        <v>53.99</v>
      </c>
      <c r="F3" s="29">
        <f>E3/1.724</f>
        <v>31.316705336426917</v>
      </c>
      <c r="G3" s="30">
        <v>30</v>
      </c>
      <c r="H3" s="31">
        <f t="shared" ref="H3:H8" si="0">ROUND(F3*D3*G3*(1-C3)*0.1,2)</f>
        <v>91.66</v>
      </c>
      <c r="I3" s="118" t="s">
        <v>99</v>
      </c>
      <c r="K3" s="25"/>
    </row>
    <row r="4" spans="2:15" x14ac:dyDescent="0.3">
      <c r="B4" s="26" t="s">
        <v>451</v>
      </c>
      <c r="C4" s="27">
        <v>0.14860000000000001</v>
      </c>
      <c r="D4" s="28">
        <v>1.1299999999999999</v>
      </c>
      <c r="E4" s="28">
        <v>51.49</v>
      </c>
      <c r="F4" s="29">
        <f t="shared" ref="F4:F8" si="1">E4/1.724</f>
        <v>29.866589327146173</v>
      </c>
      <c r="G4" s="30">
        <v>30</v>
      </c>
      <c r="H4" s="31">
        <f t="shared" si="0"/>
        <v>86.2</v>
      </c>
      <c r="I4" s="119"/>
      <c r="K4" s="25"/>
    </row>
    <row r="5" spans="2:15" x14ac:dyDescent="0.3">
      <c r="B5" s="26" t="s">
        <v>452</v>
      </c>
      <c r="C5" s="27">
        <v>0.14990000000000001</v>
      </c>
      <c r="D5" s="28">
        <v>1.1499999999999999</v>
      </c>
      <c r="E5" s="28">
        <v>67.27</v>
      </c>
      <c r="F5" s="29">
        <f t="shared" si="1"/>
        <v>39.019721577726216</v>
      </c>
      <c r="G5" s="30">
        <v>30</v>
      </c>
      <c r="H5" s="31">
        <f t="shared" si="0"/>
        <v>114.44</v>
      </c>
      <c r="I5" s="119"/>
      <c r="K5" s="25"/>
    </row>
    <row r="6" spans="2:15" x14ac:dyDescent="0.3">
      <c r="B6" s="26" t="s">
        <v>453</v>
      </c>
      <c r="C6" s="27">
        <v>0.16309999999999999</v>
      </c>
      <c r="D6" s="28">
        <v>0.86</v>
      </c>
      <c r="E6" s="28">
        <v>63.01</v>
      </c>
      <c r="F6" s="29">
        <f t="shared" si="1"/>
        <v>36.548723897911835</v>
      </c>
      <c r="G6" s="30">
        <v>30</v>
      </c>
      <c r="H6" s="31">
        <f t="shared" si="0"/>
        <v>78.92</v>
      </c>
      <c r="I6" s="119"/>
      <c r="K6" s="25"/>
    </row>
    <row r="7" spans="2:15" x14ac:dyDescent="0.3">
      <c r="B7" s="26" t="s">
        <v>454</v>
      </c>
      <c r="C7" s="27">
        <v>8.4400000000000003E-2</v>
      </c>
      <c r="D7" s="28">
        <v>1.0900000000000001</v>
      </c>
      <c r="E7" s="28">
        <v>59.2</v>
      </c>
      <c r="F7" s="29">
        <f t="shared" si="1"/>
        <v>34.338747099767986</v>
      </c>
      <c r="G7" s="30">
        <v>30</v>
      </c>
      <c r="H7" s="31">
        <f t="shared" si="0"/>
        <v>102.81</v>
      </c>
      <c r="I7" s="119"/>
      <c r="K7" s="25"/>
    </row>
    <row r="8" spans="2:15" x14ac:dyDescent="0.3">
      <c r="B8" s="26" t="s">
        <v>455</v>
      </c>
      <c r="C8" s="27">
        <v>0.1004</v>
      </c>
      <c r="D8" s="28">
        <v>0.85</v>
      </c>
      <c r="E8" s="28">
        <v>48.32</v>
      </c>
      <c r="F8" s="29">
        <f t="shared" si="1"/>
        <v>28.027842227378191</v>
      </c>
      <c r="G8" s="30">
        <v>30</v>
      </c>
      <c r="H8" s="31">
        <f t="shared" si="0"/>
        <v>64.3</v>
      </c>
      <c r="I8" s="119"/>
      <c r="K8" s="25"/>
    </row>
    <row r="9" spans="2:15" ht="14" customHeight="1" x14ac:dyDescent="0.3">
      <c r="O9" s="33"/>
    </row>
    <row r="10" spans="2:15" ht="28" x14ac:dyDescent="0.3">
      <c r="B10" s="91" t="s">
        <v>33</v>
      </c>
      <c r="C10" s="91" t="s">
        <v>456</v>
      </c>
      <c r="D10" s="91" t="s">
        <v>457</v>
      </c>
      <c r="E10" s="91" t="s">
        <v>34</v>
      </c>
      <c r="F10" s="91" t="s">
        <v>458</v>
      </c>
      <c r="G10" s="91" t="s">
        <v>96</v>
      </c>
      <c r="H10" s="91" t="s">
        <v>459</v>
      </c>
      <c r="I10" s="85" t="s">
        <v>98</v>
      </c>
    </row>
    <row r="11" spans="2:15" ht="14.4" customHeight="1" x14ac:dyDescent="0.3">
      <c r="B11" s="26" t="s">
        <v>460</v>
      </c>
      <c r="C11" s="27">
        <v>0.14560000000000001</v>
      </c>
      <c r="D11" s="28">
        <v>1.17</v>
      </c>
      <c r="E11" s="28">
        <v>54.22</v>
      </c>
      <c r="F11" s="29">
        <f t="shared" ref="F11:F16" si="2">E11/1.724</f>
        <v>31.450116009280741</v>
      </c>
      <c r="G11" s="30">
        <v>30</v>
      </c>
      <c r="H11" s="31">
        <f t="shared" ref="H11:H16" si="3">ROUND(F11*D11*G11*(1-C11)*0.1,2)</f>
        <v>94.32</v>
      </c>
      <c r="I11" s="118" t="s">
        <v>99</v>
      </c>
    </row>
    <row r="12" spans="2:15" x14ac:dyDescent="0.3">
      <c r="B12" s="26" t="s">
        <v>461</v>
      </c>
      <c r="C12" s="27">
        <v>0.14910000000000001</v>
      </c>
      <c r="D12" s="28">
        <v>1.1200000000000001</v>
      </c>
      <c r="E12" s="28">
        <v>53.64</v>
      </c>
      <c r="F12" s="29">
        <f t="shared" si="2"/>
        <v>31.113689095127611</v>
      </c>
      <c r="G12" s="30">
        <v>30</v>
      </c>
      <c r="H12" s="31">
        <f t="shared" si="3"/>
        <v>88.95</v>
      </c>
      <c r="I12" s="119"/>
    </row>
    <row r="13" spans="2:15" x14ac:dyDescent="0.3">
      <c r="B13" s="26" t="s">
        <v>462</v>
      </c>
      <c r="C13" s="27">
        <v>0.12590000000000001</v>
      </c>
      <c r="D13" s="26">
        <v>1.2</v>
      </c>
      <c r="E13" s="26">
        <v>68.06</v>
      </c>
      <c r="F13" s="29">
        <f t="shared" si="2"/>
        <v>39.477958236658935</v>
      </c>
      <c r="G13" s="30">
        <v>30</v>
      </c>
      <c r="H13" s="31">
        <f t="shared" si="3"/>
        <v>124.23</v>
      </c>
      <c r="I13" s="119"/>
    </row>
    <row r="14" spans="2:15" x14ac:dyDescent="0.3">
      <c r="B14" s="26" t="s">
        <v>463</v>
      </c>
      <c r="C14" s="27">
        <v>0.15709999999999999</v>
      </c>
      <c r="D14" s="26">
        <v>0.91</v>
      </c>
      <c r="E14" s="26">
        <v>65.91</v>
      </c>
      <c r="F14" s="29">
        <f t="shared" si="2"/>
        <v>38.230858468677489</v>
      </c>
      <c r="G14" s="30">
        <v>30</v>
      </c>
      <c r="H14" s="31">
        <f t="shared" si="3"/>
        <v>87.97</v>
      </c>
      <c r="I14" s="119"/>
    </row>
    <row r="15" spans="2:15" x14ac:dyDescent="0.3">
      <c r="B15" s="26" t="s">
        <v>464</v>
      </c>
      <c r="C15" s="27">
        <v>0.1537</v>
      </c>
      <c r="D15" s="28">
        <v>1.1499999999999999</v>
      </c>
      <c r="E15" s="28">
        <v>62.4</v>
      </c>
      <c r="F15" s="29">
        <f t="shared" si="2"/>
        <v>36.194895591647331</v>
      </c>
      <c r="G15" s="30">
        <v>30</v>
      </c>
      <c r="H15" s="31">
        <f t="shared" si="3"/>
        <v>105.68</v>
      </c>
      <c r="I15" s="119"/>
    </row>
    <row r="16" spans="2:15" x14ac:dyDescent="0.3">
      <c r="B16" s="26" t="s">
        <v>465</v>
      </c>
      <c r="C16" s="27">
        <v>0.17860000000000001</v>
      </c>
      <c r="D16" s="26">
        <v>0.99</v>
      </c>
      <c r="E16" s="26">
        <v>48.94</v>
      </c>
      <c r="F16" s="29">
        <f t="shared" si="2"/>
        <v>28.387470997679813</v>
      </c>
      <c r="G16" s="30">
        <v>30</v>
      </c>
      <c r="H16" s="31">
        <f t="shared" si="3"/>
        <v>69.25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466</v>
      </c>
      <c r="C19" s="26" t="s">
        <v>145</v>
      </c>
      <c r="D19" s="89">
        <v>101.3935129</v>
      </c>
      <c r="E19" s="89">
        <v>38.046546589999998</v>
      </c>
      <c r="F19" s="90" t="s">
        <v>257</v>
      </c>
      <c r="G19" s="70">
        <f t="shared" ref="G19:G24" si="4">H11-H3</f>
        <v>2.6599999999999966</v>
      </c>
    </row>
    <row r="20" spans="2:7" x14ac:dyDescent="0.3">
      <c r="B20" s="26" t="s">
        <v>467</v>
      </c>
      <c r="C20" s="26" t="s">
        <v>146</v>
      </c>
      <c r="D20" s="89">
        <v>101.48249439999999</v>
      </c>
      <c r="E20" s="89">
        <v>38.440430560000003</v>
      </c>
      <c r="F20" s="90" t="s">
        <v>257</v>
      </c>
      <c r="G20" s="70">
        <f t="shared" si="4"/>
        <v>2.75</v>
      </c>
    </row>
    <row r="21" spans="2:7" x14ac:dyDescent="0.3">
      <c r="B21" s="26" t="s">
        <v>468</v>
      </c>
      <c r="C21" s="26" t="s">
        <v>147</v>
      </c>
      <c r="D21" s="89">
        <v>101.16099440000001</v>
      </c>
      <c r="E21" s="89">
        <v>38.904861109999999</v>
      </c>
      <c r="F21" s="90" t="s">
        <v>257</v>
      </c>
      <c r="G21" s="70">
        <f t="shared" si="4"/>
        <v>9.7900000000000063</v>
      </c>
    </row>
    <row r="22" spans="2:7" x14ac:dyDescent="0.3">
      <c r="B22" s="26" t="s">
        <v>469</v>
      </c>
      <c r="C22" s="26" t="s">
        <v>148</v>
      </c>
      <c r="D22" s="89">
        <v>99.494551639999997</v>
      </c>
      <c r="E22" s="89">
        <v>39.002592999999997</v>
      </c>
      <c r="F22" s="90" t="s">
        <v>257</v>
      </c>
      <c r="G22" s="70">
        <f t="shared" si="4"/>
        <v>9.0499999999999972</v>
      </c>
    </row>
    <row r="23" spans="2:7" x14ac:dyDescent="0.3">
      <c r="B23" s="26" t="s">
        <v>470</v>
      </c>
      <c r="C23" s="26" t="s">
        <v>149</v>
      </c>
      <c r="D23" s="89">
        <v>101.56102780000001</v>
      </c>
      <c r="E23" s="89">
        <v>38.056894440000001</v>
      </c>
      <c r="F23" s="90" t="s">
        <v>257</v>
      </c>
      <c r="G23" s="70">
        <f t="shared" si="4"/>
        <v>2.8700000000000045</v>
      </c>
    </row>
    <row r="24" spans="2:7" x14ac:dyDescent="0.3">
      <c r="B24" s="26" t="s">
        <v>471</v>
      </c>
      <c r="C24" s="26" t="s">
        <v>150</v>
      </c>
      <c r="D24" s="89">
        <v>99.470785000000006</v>
      </c>
      <c r="E24" s="89">
        <v>38.98082514</v>
      </c>
      <c r="F24" s="90" t="s">
        <v>257</v>
      </c>
      <c r="G24" s="70">
        <f t="shared" si="4"/>
        <v>4.9500000000000028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5.35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2.9919322073424963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1.2214512088313463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3C9F-9546-46EC-B518-CC9752594240}">
  <dimension ref="B2:O36"/>
  <sheetViews>
    <sheetView workbookViewId="0">
      <selection activeCell="B2" sqref="B2:H11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8.082031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472</v>
      </c>
      <c r="D2" s="91" t="s">
        <v>473</v>
      </c>
      <c r="E2" s="91" t="s">
        <v>34</v>
      </c>
      <c r="F2" s="91" t="s">
        <v>474</v>
      </c>
      <c r="G2" s="91" t="s">
        <v>96</v>
      </c>
      <c r="H2" s="91" t="s">
        <v>475</v>
      </c>
      <c r="I2" s="85" t="s">
        <v>98</v>
      </c>
    </row>
    <row r="3" spans="2:15" ht="13.25" customHeight="1" x14ac:dyDescent="0.3">
      <c r="B3" s="26" t="s">
        <v>476</v>
      </c>
      <c r="C3" s="27">
        <v>0.16400000000000001</v>
      </c>
      <c r="D3" s="31">
        <v>0.93</v>
      </c>
      <c r="E3" s="28">
        <v>30.71</v>
      </c>
      <c r="F3" s="29">
        <f>E3/1.724</f>
        <v>17.81322505800464</v>
      </c>
      <c r="G3" s="30">
        <v>30</v>
      </c>
      <c r="H3" s="31">
        <f>ROUND(F3*D3*G3*(1-C3)*0.1,2)</f>
        <v>41.55</v>
      </c>
      <c r="I3" s="118" t="s">
        <v>99</v>
      </c>
      <c r="K3" s="25"/>
    </row>
    <row r="4" spans="2:15" x14ac:dyDescent="0.3">
      <c r="B4" s="26" t="s">
        <v>477</v>
      </c>
      <c r="C4" s="27">
        <v>0.15970000000000001</v>
      </c>
      <c r="D4" s="28">
        <v>1.1499999999999999</v>
      </c>
      <c r="E4" s="28">
        <v>70.77</v>
      </c>
      <c r="F4" s="29">
        <f t="shared" ref="F4:F11" si="0">E4/1.724</f>
        <v>41.049883990719259</v>
      </c>
      <c r="G4" s="30">
        <v>30</v>
      </c>
      <c r="H4" s="31">
        <f t="shared" ref="H4:H11" si="1">ROUND(F4*D4*G4*(1-C4)*0.1,2)</f>
        <v>119.01</v>
      </c>
      <c r="I4" s="119"/>
      <c r="K4" s="25"/>
    </row>
    <row r="5" spans="2:15" x14ac:dyDescent="0.3">
      <c r="B5" s="26" t="s">
        <v>478</v>
      </c>
      <c r="C5" s="27">
        <v>0.14610000000000001</v>
      </c>
      <c r="D5" s="28">
        <v>1.1299999999999999</v>
      </c>
      <c r="E5" s="28">
        <v>64.569999999999993</v>
      </c>
      <c r="F5" s="29">
        <f t="shared" si="0"/>
        <v>37.453596287703014</v>
      </c>
      <c r="G5" s="30">
        <v>30</v>
      </c>
      <c r="H5" s="31">
        <f t="shared" si="1"/>
        <v>108.42</v>
      </c>
      <c r="I5" s="119"/>
      <c r="K5" s="25"/>
    </row>
    <row r="6" spans="2:15" x14ac:dyDescent="0.3">
      <c r="B6" s="26" t="s">
        <v>479</v>
      </c>
      <c r="C6" s="27">
        <v>0.15310000000000001</v>
      </c>
      <c r="D6" s="28">
        <v>1.1200000000000001</v>
      </c>
      <c r="E6" s="28">
        <v>48.12</v>
      </c>
      <c r="F6" s="29">
        <f t="shared" si="0"/>
        <v>27.91183294663573</v>
      </c>
      <c r="G6" s="30">
        <v>30</v>
      </c>
      <c r="H6" s="31">
        <f t="shared" si="1"/>
        <v>79.430000000000007</v>
      </c>
      <c r="I6" s="119"/>
      <c r="K6" s="25"/>
    </row>
    <row r="7" spans="2:15" x14ac:dyDescent="0.3">
      <c r="B7" s="26" t="s">
        <v>480</v>
      </c>
      <c r="C7" s="27">
        <v>0.16159999999999999</v>
      </c>
      <c r="D7" s="28">
        <v>0.99</v>
      </c>
      <c r="E7" s="28">
        <v>62.79</v>
      </c>
      <c r="F7" s="29">
        <f t="shared" si="0"/>
        <v>36.421113689095129</v>
      </c>
      <c r="G7" s="30">
        <v>30</v>
      </c>
      <c r="H7" s="31">
        <f t="shared" si="1"/>
        <v>90.69</v>
      </c>
      <c r="I7" s="119"/>
      <c r="K7" s="25"/>
    </row>
    <row r="8" spans="2:15" x14ac:dyDescent="0.3">
      <c r="B8" s="26" t="s">
        <v>481</v>
      </c>
      <c r="C8" s="27">
        <v>0.1661</v>
      </c>
      <c r="D8" s="28">
        <v>0.98</v>
      </c>
      <c r="E8" s="28">
        <v>58.43</v>
      </c>
      <c r="F8" s="29">
        <f t="shared" si="0"/>
        <v>33.892111368909511</v>
      </c>
      <c r="G8" s="30">
        <v>30</v>
      </c>
      <c r="H8" s="31">
        <f t="shared" si="1"/>
        <v>83.09</v>
      </c>
      <c r="I8" s="119"/>
      <c r="K8" s="25"/>
    </row>
    <row r="9" spans="2:15" x14ac:dyDescent="0.3">
      <c r="B9" s="26" t="s">
        <v>482</v>
      </c>
      <c r="C9" s="27">
        <v>0.1464</v>
      </c>
      <c r="D9" s="28">
        <v>0.94</v>
      </c>
      <c r="E9" s="28">
        <v>58.27</v>
      </c>
      <c r="F9" s="29">
        <f t="shared" si="0"/>
        <v>33.799303944315547</v>
      </c>
      <c r="G9" s="30">
        <v>30</v>
      </c>
      <c r="H9" s="31">
        <f t="shared" si="1"/>
        <v>81.36</v>
      </c>
      <c r="I9" s="119"/>
      <c r="K9" s="25"/>
    </row>
    <row r="10" spans="2:15" x14ac:dyDescent="0.3">
      <c r="B10" s="26" t="s">
        <v>483</v>
      </c>
      <c r="C10" s="27">
        <v>0.15709999999999999</v>
      </c>
      <c r="D10" s="28">
        <v>1.1499999999999999</v>
      </c>
      <c r="E10" s="28">
        <v>40.799999999999997</v>
      </c>
      <c r="F10" s="29">
        <f t="shared" si="0"/>
        <v>23.665893271461716</v>
      </c>
      <c r="G10" s="30">
        <v>30</v>
      </c>
      <c r="H10" s="31">
        <f t="shared" si="1"/>
        <v>68.819999999999993</v>
      </c>
      <c r="I10" s="119"/>
      <c r="K10" s="25"/>
    </row>
    <row r="11" spans="2:15" x14ac:dyDescent="0.3">
      <c r="B11" s="26" t="s">
        <v>484</v>
      </c>
      <c r="C11" s="27">
        <v>0.14199999999999999</v>
      </c>
      <c r="D11" s="28">
        <v>0.86</v>
      </c>
      <c r="E11" s="28">
        <v>44.39</v>
      </c>
      <c r="F11" s="29">
        <f t="shared" si="0"/>
        <v>25.748259860788863</v>
      </c>
      <c r="G11" s="30">
        <v>30</v>
      </c>
      <c r="H11" s="31">
        <f t="shared" si="1"/>
        <v>57</v>
      </c>
      <c r="I11" s="119"/>
      <c r="K11" s="25"/>
    </row>
    <row r="12" spans="2:15" ht="14" customHeight="1" x14ac:dyDescent="0.3">
      <c r="O12" s="33"/>
    </row>
    <row r="13" spans="2:15" ht="16" x14ac:dyDescent="0.3">
      <c r="B13" s="91" t="s">
        <v>33</v>
      </c>
      <c r="C13" s="91" t="s">
        <v>485</v>
      </c>
      <c r="D13" s="91" t="s">
        <v>486</v>
      </c>
      <c r="E13" s="91" t="s">
        <v>34</v>
      </c>
      <c r="F13" s="91" t="s">
        <v>487</v>
      </c>
      <c r="G13" s="91" t="s">
        <v>96</v>
      </c>
      <c r="H13" s="91" t="s">
        <v>488</v>
      </c>
      <c r="I13" s="85" t="s">
        <v>98</v>
      </c>
    </row>
    <row r="14" spans="2:15" ht="14.4" customHeight="1" x14ac:dyDescent="0.3">
      <c r="B14" s="26" t="s">
        <v>489</v>
      </c>
      <c r="C14" s="27">
        <v>0.1497</v>
      </c>
      <c r="D14" s="28">
        <v>0.96</v>
      </c>
      <c r="E14" s="28">
        <v>34.590000000000003</v>
      </c>
      <c r="F14" s="29">
        <f>E14/1.724</f>
        <v>20.063805104408356</v>
      </c>
      <c r="G14" s="30">
        <v>30</v>
      </c>
      <c r="H14" s="31">
        <f>ROUND(F14*D14*G14*(1-C14)*0.1,2)</f>
        <v>49.13</v>
      </c>
      <c r="I14" s="118" t="s">
        <v>99</v>
      </c>
    </row>
    <row r="15" spans="2:15" x14ac:dyDescent="0.3">
      <c r="B15" s="26" t="s">
        <v>490</v>
      </c>
      <c r="C15" s="27">
        <v>0.1351</v>
      </c>
      <c r="D15" s="31">
        <v>1.1599999999999999</v>
      </c>
      <c r="E15" s="28">
        <v>71.510000000000005</v>
      </c>
      <c r="F15" s="29">
        <f t="shared" ref="F15:F22" si="2">E15/1.724</f>
        <v>41.47911832946636</v>
      </c>
      <c r="G15" s="30">
        <v>30</v>
      </c>
      <c r="H15" s="31">
        <f t="shared" ref="H15:H22" si="3">ROUND(F15*D15*G15*(1-C15)*0.1,2)</f>
        <v>124.85</v>
      </c>
      <c r="I15" s="119"/>
    </row>
    <row r="16" spans="2:15" x14ac:dyDescent="0.3">
      <c r="B16" s="26" t="s">
        <v>491</v>
      </c>
      <c r="C16" s="27">
        <v>7.5399999999999995E-2</v>
      </c>
      <c r="D16" s="31">
        <v>1.06</v>
      </c>
      <c r="E16" s="26">
        <v>65.05</v>
      </c>
      <c r="F16" s="29">
        <f t="shared" si="2"/>
        <v>37.732018561484921</v>
      </c>
      <c r="G16" s="30">
        <v>30</v>
      </c>
      <c r="H16" s="31">
        <f t="shared" si="3"/>
        <v>110.94</v>
      </c>
      <c r="I16" s="119"/>
    </row>
    <row r="17" spans="2:9" x14ac:dyDescent="0.3">
      <c r="B17" s="26" t="s">
        <v>492</v>
      </c>
      <c r="C17" s="27">
        <v>0.15010000000000001</v>
      </c>
      <c r="D17" s="31">
        <v>1.1299999999999999</v>
      </c>
      <c r="E17" s="26">
        <v>51.51</v>
      </c>
      <c r="F17" s="29">
        <f t="shared" si="2"/>
        <v>29.878190255220417</v>
      </c>
      <c r="G17" s="30">
        <v>30</v>
      </c>
      <c r="H17" s="31">
        <f t="shared" si="3"/>
        <v>86.08</v>
      </c>
      <c r="I17" s="119"/>
    </row>
    <row r="18" spans="2:9" x14ac:dyDescent="0.3">
      <c r="B18" s="26" t="s">
        <v>493</v>
      </c>
      <c r="C18" s="27">
        <v>0.12559999999999999</v>
      </c>
      <c r="D18" s="31">
        <v>1.01</v>
      </c>
      <c r="E18" s="26">
        <v>65.47</v>
      </c>
      <c r="F18" s="29">
        <f t="shared" si="2"/>
        <v>37.975638051044086</v>
      </c>
      <c r="G18" s="30">
        <v>30</v>
      </c>
      <c r="H18" s="31">
        <f t="shared" si="3"/>
        <v>100.61</v>
      </c>
      <c r="I18" s="119"/>
    </row>
    <row r="19" spans="2:9" x14ac:dyDescent="0.3">
      <c r="B19" s="26" t="s">
        <v>494</v>
      </c>
      <c r="C19" s="27">
        <v>0.1366</v>
      </c>
      <c r="D19" s="31">
        <v>0.98</v>
      </c>
      <c r="E19" s="26">
        <v>59.62</v>
      </c>
      <c r="F19" s="29">
        <f t="shared" si="2"/>
        <v>34.582366589327144</v>
      </c>
      <c r="G19" s="30">
        <v>30</v>
      </c>
      <c r="H19" s="31">
        <f t="shared" si="3"/>
        <v>87.78</v>
      </c>
      <c r="I19" s="119"/>
    </row>
    <row r="20" spans="2:9" x14ac:dyDescent="0.3">
      <c r="B20" s="26" t="s">
        <v>495</v>
      </c>
      <c r="C20" s="27">
        <v>0.1653</v>
      </c>
      <c r="D20" s="31">
        <v>0.97</v>
      </c>
      <c r="E20" s="26">
        <v>59.77</v>
      </c>
      <c r="F20" s="29">
        <f t="shared" si="2"/>
        <v>34.669373549883993</v>
      </c>
      <c r="G20" s="30">
        <v>30</v>
      </c>
      <c r="H20" s="31">
        <f t="shared" si="3"/>
        <v>84.21</v>
      </c>
      <c r="I20" s="119"/>
    </row>
    <row r="21" spans="2:9" x14ac:dyDescent="0.3">
      <c r="B21" s="26" t="s">
        <v>496</v>
      </c>
      <c r="C21" s="27">
        <v>0.1479</v>
      </c>
      <c r="D21" s="31">
        <v>1.1299999999999999</v>
      </c>
      <c r="E21" s="26">
        <v>45.87</v>
      </c>
      <c r="F21" s="29">
        <f t="shared" si="2"/>
        <v>26.606728538283061</v>
      </c>
      <c r="G21" s="30">
        <v>30</v>
      </c>
      <c r="H21" s="31">
        <f t="shared" si="3"/>
        <v>76.86</v>
      </c>
      <c r="I21" s="119"/>
    </row>
    <row r="22" spans="2:9" x14ac:dyDescent="0.3">
      <c r="B22" s="26" t="s">
        <v>497</v>
      </c>
      <c r="C22" s="27">
        <v>0.1583</v>
      </c>
      <c r="D22" s="31">
        <v>0.89</v>
      </c>
      <c r="E22" s="26">
        <v>45.18</v>
      </c>
      <c r="F22" s="29">
        <f t="shared" si="2"/>
        <v>26.206496519721579</v>
      </c>
      <c r="G22" s="30">
        <v>30</v>
      </c>
      <c r="H22" s="31">
        <f t="shared" si="3"/>
        <v>58.89</v>
      </c>
      <c r="I22" s="119"/>
    </row>
    <row r="24" spans="2:9" ht="15" x14ac:dyDescent="0.3">
      <c r="B24" s="47" t="s">
        <v>33</v>
      </c>
      <c r="C24" s="47" t="s">
        <v>37</v>
      </c>
      <c r="D24" s="79" t="s">
        <v>141</v>
      </c>
      <c r="E24" s="79" t="s">
        <v>142</v>
      </c>
      <c r="F24" s="79" t="s">
        <v>143</v>
      </c>
      <c r="G24" s="47" t="s">
        <v>144</v>
      </c>
    </row>
    <row r="25" spans="2:9" x14ac:dyDescent="0.3">
      <c r="B25" s="26" t="s">
        <v>498</v>
      </c>
      <c r="C25" s="26" t="s">
        <v>367</v>
      </c>
      <c r="D25" s="89">
        <v>100.7358476</v>
      </c>
      <c r="E25" s="89">
        <v>38.430923679999999</v>
      </c>
      <c r="F25" s="90" t="s">
        <v>368</v>
      </c>
      <c r="G25" s="70">
        <f t="shared" ref="G25:G33" si="4">H14-H3</f>
        <v>7.5800000000000054</v>
      </c>
    </row>
    <row r="26" spans="2:9" x14ac:dyDescent="0.3">
      <c r="B26" s="26" t="s">
        <v>499</v>
      </c>
      <c r="C26" s="26" t="s">
        <v>370</v>
      </c>
      <c r="D26" s="89">
        <v>101.05159980000001</v>
      </c>
      <c r="E26" s="89">
        <v>38.224893459999997</v>
      </c>
      <c r="F26" s="90" t="s">
        <v>368</v>
      </c>
      <c r="G26" s="70">
        <f t="shared" si="4"/>
        <v>5.8399999999999892</v>
      </c>
    </row>
    <row r="27" spans="2:9" x14ac:dyDescent="0.3">
      <c r="B27" s="26" t="s">
        <v>500</v>
      </c>
      <c r="C27" s="26" t="s">
        <v>372</v>
      </c>
      <c r="D27" s="89">
        <v>101.34733610000001</v>
      </c>
      <c r="E27" s="89">
        <v>38.095530910000001</v>
      </c>
      <c r="F27" s="90" t="s">
        <v>368</v>
      </c>
      <c r="G27" s="70">
        <f t="shared" si="4"/>
        <v>2.519999999999996</v>
      </c>
    </row>
    <row r="28" spans="2:9" x14ac:dyDescent="0.3">
      <c r="B28" s="26" t="s">
        <v>501</v>
      </c>
      <c r="C28" s="26" t="s">
        <v>374</v>
      </c>
      <c r="D28" s="89">
        <v>101.0561889</v>
      </c>
      <c r="E28" s="89">
        <v>38.23929167</v>
      </c>
      <c r="F28" s="90" t="s">
        <v>368</v>
      </c>
      <c r="G28" s="70">
        <f t="shared" si="4"/>
        <v>6.6499999999999915</v>
      </c>
    </row>
    <row r="29" spans="2:9" x14ac:dyDescent="0.3">
      <c r="B29" s="26" t="s">
        <v>502</v>
      </c>
      <c r="C29" s="26" t="s">
        <v>376</v>
      </c>
      <c r="D29" s="89">
        <v>101.39788609999999</v>
      </c>
      <c r="E29" s="89">
        <v>38.193133330000002</v>
      </c>
      <c r="F29" s="90" t="s">
        <v>368</v>
      </c>
      <c r="G29" s="70">
        <f t="shared" si="4"/>
        <v>9.9200000000000017</v>
      </c>
    </row>
    <row r="30" spans="2:9" x14ac:dyDescent="0.3">
      <c r="B30" s="26" t="s">
        <v>503</v>
      </c>
      <c r="C30" s="26" t="s">
        <v>378</v>
      </c>
      <c r="D30" s="89">
        <v>101.3784927</v>
      </c>
      <c r="E30" s="89">
        <v>38.058506530000002</v>
      </c>
      <c r="F30" s="90" t="s">
        <v>368</v>
      </c>
      <c r="G30" s="70">
        <f t="shared" si="4"/>
        <v>4.6899999999999977</v>
      </c>
    </row>
    <row r="31" spans="2:9" x14ac:dyDescent="0.3">
      <c r="B31" s="26" t="s">
        <v>504</v>
      </c>
      <c r="C31" s="26" t="s">
        <v>380</v>
      </c>
      <c r="D31" s="89">
        <v>101.3521554</v>
      </c>
      <c r="E31" s="89">
        <v>38.04266286</v>
      </c>
      <c r="F31" s="90" t="s">
        <v>368</v>
      </c>
      <c r="G31" s="70">
        <f t="shared" si="4"/>
        <v>2.8499999999999943</v>
      </c>
    </row>
    <row r="32" spans="2:9" x14ac:dyDescent="0.3">
      <c r="B32" s="26" t="s">
        <v>505</v>
      </c>
      <c r="C32" s="26" t="s">
        <v>382</v>
      </c>
      <c r="D32" s="89">
        <v>99.479974369999994</v>
      </c>
      <c r="E32" s="89">
        <v>39.061551000000001</v>
      </c>
      <c r="F32" s="90" t="s">
        <v>368</v>
      </c>
      <c r="G32" s="70">
        <f t="shared" si="4"/>
        <v>8.0400000000000063</v>
      </c>
    </row>
    <row r="33" spans="2:7" x14ac:dyDescent="0.3">
      <c r="B33" s="26" t="s">
        <v>506</v>
      </c>
      <c r="C33" s="26" t="s">
        <v>384</v>
      </c>
      <c r="D33" s="89">
        <v>99.866152779999993</v>
      </c>
      <c r="E33" s="89">
        <v>38.885388890000002</v>
      </c>
      <c r="F33" s="90" t="s">
        <v>368</v>
      </c>
      <c r="G33" s="70">
        <f t="shared" si="4"/>
        <v>1.8900000000000006</v>
      </c>
    </row>
    <row r="34" spans="2:7" ht="13" x14ac:dyDescent="0.3">
      <c r="B34" s="3"/>
      <c r="C34" s="73"/>
      <c r="D34" s="3"/>
      <c r="E34" s="3"/>
      <c r="F34" s="15" t="s">
        <v>151</v>
      </c>
      <c r="G34" s="74">
        <f>ROUND(AVERAGE(G25:G33),2)</f>
        <v>5.55</v>
      </c>
    </row>
    <row r="35" spans="2:7" ht="13" x14ac:dyDescent="0.3">
      <c r="B35" s="3"/>
      <c r="C35" s="73"/>
      <c r="D35" s="3"/>
      <c r="E35" s="3"/>
      <c r="F35" s="15" t="s">
        <v>152</v>
      </c>
      <c r="G35" s="74">
        <f>STDEVP(G25:G33)</f>
        <v>2.6101936922594686</v>
      </c>
    </row>
    <row r="36" spans="2:7" ht="13" x14ac:dyDescent="0.3">
      <c r="B36" s="3"/>
      <c r="C36" s="73"/>
      <c r="D36" s="3"/>
      <c r="E36" s="3"/>
      <c r="F36" s="15" t="s">
        <v>134</v>
      </c>
      <c r="G36" s="74">
        <f>G35/SQRT(COUNT(G25:G33))</f>
        <v>0.87006456408648958</v>
      </c>
    </row>
  </sheetData>
  <mergeCells count="2">
    <mergeCell ref="I3:I11"/>
    <mergeCell ref="I14:I22"/>
  </mergeCells>
  <phoneticPr fontId="2" type="noConversion"/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E7EC-7E94-4746-B2A6-9DC48A667DC6}">
  <dimension ref="B2:O27"/>
  <sheetViews>
    <sheetView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7.582031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507</v>
      </c>
      <c r="D2" s="91" t="s">
        <v>508</v>
      </c>
      <c r="E2" s="91" t="s">
        <v>34</v>
      </c>
      <c r="F2" s="91" t="s">
        <v>509</v>
      </c>
      <c r="G2" s="91" t="s">
        <v>96</v>
      </c>
      <c r="H2" s="91" t="s">
        <v>510</v>
      </c>
      <c r="I2" s="85" t="s">
        <v>98</v>
      </c>
    </row>
    <row r="3" spans="2:15" ht="13.25" customHeight="1" x14ac:dyDescent="0.3">
      <c r="B3" s="26" t="s">
        <v>511</v>
      </c>
      <c r="C3" s="27">
        <v>0.15010000000000001</v>
      </c>
      <c r="D3" s="28">
        <v>1.08</v>
      </c>
      <c r="E3" s="28">
        <v>49.32</v>
      </c>
      <c r="F3" s="29">
        <f>E3/1.724</f>
        <v>28.607888631090489</v>
      </c>
      <c r="G3" s="30">
        <v>30</v>
      </c>
      <c r="H3" s="31">
        <f>ROUND(F3*D3*G3*(1-C3)*0.1,2)</f>
        <v>78.78</v>
      </c>
      <c r="I3" s="118" t="s">
        <v>99</v>
      </c>
      <c r="K3" s="25"/>
    </row>
    <row r="4" spans="2:15" x14ac:dyDescent="0.3">
      <c r="B4" s="26" t="s">
        <v>512</v>
      </c>
      <c r="C4" s="27">
        <v>0.1661</v>
      </c>
      <c r="D4" s="28">
        <v>1</v>
      </c>
      <c r="E4" s="28">
        <v>41.6</v>
      </c>
      <c r="F4" s="29">
        <f t="shared" ref="F4:F8" si="0">E4/1.724</f>
        <v>24.129930394431554</v>
      </c>
      <c r="G4" s="30">
        <v>30</v>
      </c>
      <c r="H4" s="31">
        <f t="shared" ref="H4:H8" si="1">ROUND(F4*D4*G4*(1-C4)*0.1,2)</f>
        <v>60.37</v>
      </c>
      <c r="I4" s="119"/>
      <c r="K4" s="25"/>
    </row>
    <row r="5" spans="2:15" x14ac:dyDescent="0.3">
      <c r="B5" s="26" t="s">
        <v>513</v>
      </c>
      <c r="C5" s="27">
        <v>0.2452</v>
      </c>
      <c r="D5" s="28">
        <v>1.01</v>
      </c>
      <c r="E5" s="28">
        <v>16.18</v>
      </c>
      <c r="F5" s="29">
        <f t="shared" si="0"/>
        <v>9.3851508120649658</v>
      </c>
      <c r="G5" s="30">
        <v>30</v>
      </c>
      <c r="H5" s="31">
        <f t="shared" si="1"/>
        <v>21.46</v>
      </c>
      <c r="I5" s="119"/>
      <c r="K5" s="25"/>
    </row>
    <row r="6" spans="2:15" x14ac:dyDescent="0.3">
      <c r="B6" s="26" t="s">
        <v>514</v>
      </c>
      <c r="C6" s="27">
        <v>0.1759</v>
      </c>
      <c r="D6" s="28">
        <v>0.98</v>
      </c>
      <c r="E6" s="28">
        <v>39.06</v>
      </c>
      <c r="F6" s="29">
        <f t="shared" si="0"/>
        <v>22.65661252900232</v>
      </c>
      <c r="G6" s="30">
        <v>30</v>
      </c>
      <c r="H6" s="31">
        <f t="shared" si="1"/>
        <v>54.89</v>
      </c>
      <c r="I6" s="119"/>
      <c r="K6" s="25"/>
    </row>
    <row r="7" spans="2:15" x14ac:dyDescent="0.3">
      <c r="B7" s="26" t="s">
        <v>515</v>
      </c>
      <c r="C7" s="27">
        <v>0.1066</v>
      </c>
      <c r="D7" s="28">
        <v>0.91</v>
      </c>
      <c r="E7" s="28">
        <v>31.69</v>
      </c>
      <c r="F7" s="29">
        <f t="shared" si="0"/>
        <v>18.381670533642691</v>
      </c>
      <c r="G7" s="30">
        <v>30</v>
      </c>
      <c r="H7" s="31">
        <f t="shared" si="1"/>
        <v>44.83</v>
      </c>
      <c r="I7" s="119"/>
      <c r="K7" s="25"/>
    </row>
    <row r="8" spans="2:15" x14ac:dyDescent="0.3">
      <c r="B8" s="26" t="s">
        <v>516</v>
      </c>
      <c r="C8" s="27">
        <v>0.15809999999999999</v>
      </c>
      <c r="D8" s="28">
        <v>0.92</v>
      </c>
      <c r="E8" s="28">
        <v>55.87</v>
      </c>
      <c r="F8" s="29">
        <f t="shared" si="0"/>
        <v>32.407192575406029</v>
      </c>
      <c r="G8" s="30">
        <v>30</v>
      </c>
      <c r="H8" s="31">
        <f t="shared" si="1"/>
        <v>75.3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517</v>
      </c>
      <c r="D10" s="91" t="s">
        <v>518</v>
      </c>
      <c r="E10" s="91" t="s">
        <v>34</v>
      </c>
      <c r="F10" s="91" t="s">
        <v>519</v>
      </c>
      <c r="G10" s="91" t="s">
        <v>96</v>
      </c>
      <c r="H10" s="91" t="s">
        <v>520</v>
      </c>
      <c r="I10" s="85" t="s">
        <v>98</v>
      </c>
    </row>
    <row r="11" spans="2:15" ht="14.4" customHeight="1" x14ac:dyDescent="0.3">
      <c r="B11" s="26" t="s">
        <v>521</v>
      </c>
      <c r="C11" s="27">
        <v>0.12859999999999999</v>
      </c>
      <c r="D11" s="28">
        <v>1.0900000000000001</v>
      </c>
      <c r="E11" s="28">
        <v>51.29</v>
      </c>
      <c r="F11" s="29">
        <f t="shared" ref="F11:F16" si="2">E11/1.724</f>
        <v>29.750580046403712</v>
      </c>
      <c r="G11" s="30">
        <v>30</v>
      </c>
      <c r="H11" s="31">
        <f>ROUND(F11*D11*G11*(1-C11)*0.1,2)</f>
        <v>84.77</v>
      </c>
      <c r="I11" s="118" t="s">
        <v>99</v>
      </c>
    </row>
    <row r="12" spans="2:15" x14ac:dyDescent="0.3">
      <c r="B12" s="26" t="s">
        <v>522</v>
      </c>
      <c r="C12" s="27">
        <v>0.1704</v>
      </c>
      <c r="D12" s="28">
        <v>1.07</v>
      </c>
      <c r="E12" s="28">
        <v>44.56</v>
      </c>
      <c r="F12" s="29">
        <f t="shared" si="2"/>
        <v>25.846867749419957</v>
      </c>
      <c r="G12" s="30">
        <v>30</v>
      </c>
      <c r="H12" s="31">
        <f t="shared" ref="H12:H16" si="3">ROUND(F12*D12*G12*(1-C12)*0.1,2)</f>
        <v>68.83</v>
      </c>
      <c r="I12" s="119"/>
    </row>
    <row r="13" spans="2:15" x14ac:dyDescent="0.3">
      <c r="B13" s="26" t="s">
        <v>523</v>
      </c>
      <c r="C13" s="27">
        <v>0.21029999999999999</v>
      </c>
      <c r="D13" s="26">
        <v>1.04</v>
      </c>
      <c r="E13" s="26">
        <v>16.37</v>
      </c>
      <c r="F13" s="29">
        <f t="shared" si="2"/>
        <v>9.4953596287703022</v>
      </c>
      <c r="G13" s="30">
        <v>30</v>
      </c>
      <c r="H13" s="31">
        <f t="shared" si="3"/>
        <v>23.4</v>
      </c>
      <c r="I13" s="119"/>
    </row>
    <row r="14" spans="2:15" x14ac:dyDescent="0.3">
      <c r="B14" s="26" t="s">
        <v>524</v>
      </c>
      <c r="C14" s="27">
        <v>0.1724</v>
      </c>
      <c r="D14" s="26">
        <v>1.01</v>
      </c>
      <c r="E14" s="26">
        <v>40.92</v>
      </c>
      <c r="F14" s="29">
        <f t="shared" si="2"/>
        <v>23.735498839907194</v>
      </c>
      <c r="G14" s="30">
        <v>30</v>
      </c>
      <c r="H14" s="31">
        <f t="shared" si="3"/>
        <v>59.52</v>
      </c>
      <c r="I14" s="119"/>
    </row>
    <row r="15" spans="2:15" x14ac:dyDescent="0.3">
      <c r="B15" s="26" t="s">
        <v>525</v>
      </c>
      <c r="C15" s="27">
        <v>0.16300000000000001</v>
      </c>
      <c r="D15" s="28">
        <v>1.04</v>
      </c>
      <c r="E15" s="28">
        <v>32.17</v>
      </c>
      <c r="F15" s="29">
        <f t="shared" si="2"/>
        <v>18.660092807424594</v>
      </c>
      <c r="G15" s="30">
        <v>30</v>
      </c>
      <c r="H15" s="31">
        <f t="shared" si="3"/>
        <v>48.73</v>
      </c>
      <c r="I15" s="119"/>
    </row>
    <row r="16" spans="2:15" x14ac:dyDescent="0.3">
      <c r="B16" s="26" t="s">
        <v>526</v>
      </c>
      <c r="C16" s="27">
        <v>0.11840000000000001</v>
      </c>
      <c r="D16" s="26">
        <v>1.1100000000000001</v>
      </c>
      <c r="E16" s="26">
        <v>57.29</v>
      </c>
      <c r="F16" s="29">
        <f t="shared" si="2"/>
        <v>33.230858468677496</v>
      </c>
      <c r="G16" s="30">
        <v>30</v>
      </c>
      <c r="H16" s="31">
        <f t="shared" si="3"/>
        <v>97.56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527</v>
      </c>
      <c r="C19" s="26" t="s">
        <v>145</v>
      </c>
      <c r="D19" s="89">
        <v>101.0452011</v>
      </c>
      <c r="E19" s="89">
        <v>38.18235146</v>
      </c>
      <c r="F19" s="90" t="s">
        <v>257</v>
      </c>
      <c r="G19" s="70">
        <f t="shared" ref="G19:G24" si="4">H11-H3</f>
        <v>5.9899999999999949</v>
      </c>
    </row>
    <row r="20" spans="2:7" x14ac:dyDescent="0.3">
      <c r="B20" s="26" t="s">
        <v>528</v>
      </c>
      <c r="C20" s="26" t="s">
        <v>146</v>
      </c>
      <c r="D20" s="89">
        <v>101.41994440000001</v>
      </c>
      <c r="E20" s="89">
        <v>38.164491669999997</v>
      </c>
      <c r="F20" s="90" t="s">
        <v>257</v>
      </c>
      <c r="G20" s="70">
        <f t="shared" si="4"/>
        <v>8.4600000000000009</v>
      </c>
    </row>
    <row r="21" spans="2:7" x14ac:dyDescent="0.3">
      <c r="B21" s="26" t="s">
        <v>529</v>
      </c>
      <c r="C21" s="26" t="s">
        <v>147</v>
      </c>
      <c r="D21" s="89">
        <v>99.757603160000002</v>
      </c>
      <c r="E21" s="89">
        <v>38.816065969999997</v>
      </c>
      <c r="F21" s="90" t="s">
        <v>257</v>
      </c>
      <c r="G21" s="70">
        <f t="shared" si="4"/>
        <v>1.9399999999999977</v>
      </c>
    </row>
    <row r="22" spans="2:7" x14ac:dyDescent="0.3">
      <c r="B22" s="26" t="s">
        <v>530</v>
      </c>
      <c r="C22" s="26" t="s">
        <v>148</v>
      </c>
      <c r="D22" s="89">
        <v>99.709657519999993</v>
      </c>
      <c r="E22" s="89">
        <v>38.789446380000001</v>
      </c>
      <c r="F22" s="90" t="s">
        <v>257</v>
      </c>
      <c r="G22" s="70">
        <f t="shared" si="4"/>
        <v>4.6300000000000026</v>
      </c>
    </row>
    <row r="23" spans="2:7" x14ac:dyDescent="0.3">
      <c r="B23" s="26" t="s">
        <v>531</v>
      </c>
      <c r="C23" s="26" t="s">
        <v>149</v>
      </c>
      <c r="D23" s="89">
        <v>99.957519439999999</v>
      </c>
      <c r="E23" s="89">
        <v>38.787777779999999</v>
      </c>
      <c r="F23" s="90" t="s">
        <v>257</v>
      </c>
      <c r="G23" s="70">
        <f t="shared" si="4"/>
        <v>3.8999999999999986</v>
      </c>
    </row>
    <row r="24" spans="2:7" x14ac:dyDescent="0.3">
      <c r="B24" s="26" t="s">
        <v>532</v>
      </c>
      <c r="C24" s="26" t="s">
        <v>150</v>
      </c>
      <c r="D24" s="89">
        <v>99.931661109999993</v>
      </c>
      <c r="E24" s="89">
        <v>38.790361109999999</v>
      </c>
      <c r="F24" s="90" t="s">
        <v>257</v>
      </c>
      <c r="G24" s="70">
        <f t="shared" si="4"/>
        <v>22.260000000000005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7.86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6.7376768168923711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2.7506450421943129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6137-69D9-44C3-A24D-571E6449F968}">
  <dimension ref="A2:N71"/>
  <sheetViews>
    <sheetView showGridLines="0" topLeftCell="A35" zoomScale="90" zoomScaleNormal="90" workbookViewId="0">
      <selection activeCell="J9" sqref="J9"/>
    </sheetView>
  </sheetViews>
  <sheetFormatPr defaultColWidth="8.9140625" defaultRowHeight="12.5" x14ac:dyDescent="0.3"/>
  <cols>
    <col min="1" max="1" width="2.9140625" style="2" customWidth="1"/>
    <col min="2" max="2" width="10.08203125" style="2" customWidth="1"/>
    <col min="3" max="3" width="7.9140625" style="2" customWidth="1"/>
    <col min="4" max="4" width="8.9140625" style="7" customWidth="1"/>
    <col min="5" max="5" width="34.9140625" style="7" customWidth="1"/>
    <col min="6" max="6" width="35.25" style="7" customWidth="1"/>
    <col min="7" max="7" width="8.08203125" style="7" customWidth="1"/>
    <col min="8" max="8" width="14.75" style="7" customWidth="1"/>
    <col min="9" max="9" width="18.4140625" style="7" customWidth="1"/>
    <col min="10" max="10" width="11.4140625" style="7" customWidth="1"/>
    <col min="11" max="11" width="14.4140625" style="7" customWidth="1"/>
    <col min="12" max="12" width="13.75" style="7" customWidth="1"/>
    <col min="13" max="16384" width="8.9140625" style="7"/>
  </cols>
  <sheetData>
    <row r="2" spans="2:13" ht="15" x14ac:dyDescent="0.3">
      <c r="B2" s="97" t="s">
        <v>0</v>
      </c>
      <c r="C2" s="98"/>
      <c r="D2" s="47" t="s">
        <v>1</v>
      </c>
      <c r="E2" s="47" t="s">
        <v>2</v>
      </c>
      <c r="F2" s="47" t="s">
        <v>3</v>
      </c>
      <c r="H2" s="97" t="s">
        <v>125</v>
      </c>
      <c r="I2" s="98"/>
      <c r="J2" s="48" t="s">
        <v>63</v>
      </c>
      <c r="K2" s="48" t="s">
        <v>65</v>
      </c>
      <c r="L2" s="48" t="s">
        <v>62</v>
      </c>
      <c r="M2" s="48" t="s">
        <v>107</v>
      </c>
    </row>
    <row r="3" spans="2:13" ht="15.5" x14ac:dyDescent="0.3">
      <c r="B3" s="105" t="s">
        <v>19</v>
      </c>
      <c r="C3" s="106"/>
      <c r="D3" s="11">
        <v>28</v>
      </c>
      <c r="E3" s="21" t="s">
        <v>20</v>
      </c>
      <c r="F3" s="1" t="s">
        <v>684</v>
      </c>
      <c r="H3" s="57" t="s">
        <v>123</v>
      </c>
      <c r="I3" s="47" t="s">
        <v>124</v>
      </c>
      <c r="J3" s="49" t="s">
        <v>64</v>
      </c>
      <c r="K3" s="49" t="s">
        <v>64</v>
      </c>
      <c r="L3" s="49" t="s">
        <v>64</v>
      </c>
      <c r="M3" s="49" t="s">
        <v>64</v>
      </c>
    </row>
    <row r="4" spans="2:13" ht="15" x14ac:dyDescent="0.3">
      <c r="B4" s="105" t="s">
        <v>27</v>
      </c>
      <c r="C4" s="106"/>
      <c r="D4" s="3">
        <v>265</v>
      </c>
      <c r="E4" s="22" t="s">
        <v>6</v>
      </c>
      <c r="F4" s="1" t="s">
        <v>684</v>
      </c>
      <c r="H4" s="58">
        <v>42941</v>
      </c>
      <c r="I4" s="58">
        <v>43100</v>
      </c>
      <c r="J4" s="10">
        <f>ROUND($D$30*($I4-$H4+1)/365,0)</f>
        <v>62588</v>
      </c>
      <c r="K4" s="10">
        <f>ROUND($D$41*($I4-$H4+1)/365,0)</f>
        <v>672</v>
      </c>
      <c r="L4" s="10">
        <f>ROUND($D$63*($I4-$H4+1)/365,0)</f>
        <v>766</v>
      </c>
      <c r="M4" s="10">
        <f>J4+K4+L4</f>
        <v>64026</v>
      </c>
    </row>
    <row r="5" spans="2:13" ht="15.5" x14ac:dyDescent="0.3">
      <c r="B5" s="105" t="s">
        <v>22</v>
      </c>
      <c r="C5" s="106"/>
      <c r="D5" s="86">
        <v>2E-3</v>
      </c>
      <c r="E5" s="21" t="s">
        <v>23</v>
      </c>
      <c r="F5" s="1" t="s">
        <v>681</v>
      </c>
      <c r="H5" s="58">
        <v>43101</v>
      </c>
      <c r="I5" s="58">
        <v>43465</v>
      </c>
      <c r="J5" s="10">
        <f t="shared" ref="J5:J8" si="0">ROUND($D$30*($I5-$H5+1)/365,0)</f>
        <v>142779</v>
      </c>
      <c r="K5" s="10">
        <f t="shared" ref="K5:K8" si="1">ROUND($D$41*($I5-$H5+1)/365,0)</f>
        <v>1533</v>
      </c>
      <c r="L5" s="10">
        <f t="shared" ref="L5:L8" si="2">ROUND($D$63*($I5-$H5+1)/365,0)</f>
        <v>1747</v>
      </c>
      <c r="M5" s="10">
        <f t="shared" ref="M5:M8" si="3">J5+K5+L5</f>
        <v>146059</v>
      </c>
    </row>
    <row r="6" spans="2:13" ht="15.5" x14ac:dyDescent="0.3">
      <c r="B6" s="105" t="s">
        <v>24</v>
      </c>
      <c r="C6" s="106"/>
      <c r="D6" s="86">
        <v>3.0000000000000001E-3</v>
      </c>
      <c r="E6" s="21" t="s">
        <v>23</v>
      </c>
      <c r="F6" s="1" t="s">
        <v>681</v>
      </c>
      <c r="H6" s="58">
        <v>43466</v>
      </c>
      <c r="I6" s="58">
        <v>43830</v>
      </c>
      <c r="J6" s="10">
        <f t="shared" si="0"/>
        <v>142779</v>
      </c>
      <c r="K6" s="10">
        <f t="shared" si="1"/>
        <v>1533</v>
      </c>
      <c r="L6" s="10">
        <f t="shared" si="2"/>
        <v>1747</v>
      </c>
      <c r="M6" s="10">
        <f t="shared" si="3"/>
        <v>146059</v>
      </c>
    </row>
    <row r="7" spans="2:13" ht="15.5" x14ac:dyDescent="0.3">
      <c r="B7" s="101" t="s">
        <v>46</v>
      </c>
      <c r="C7" s="9" t="s">
        <v>43</v>
      </c>
      <c r="D7" s="87">
        <v>56</v>
      </c>
      <c r="E7" s="21" t="s">
        <v>21</v>
      </c>
      <c r="F7" s="1" t="s">
        <v>680</v>
      </c>
      <c r="H7" s="58">
        <v>43831</v>
      </c>
      <c r="I7" s="58">
        <v>44196</v>
      </c>
      <c r="J7" s="10">
        <f t="shared" si="0"/>
        <v>143171</v>
      </c>
      <c r="K7" s="10">
        <f t="shared" si="1"/>
        <v>1537</v>
      </c>
      <c r="L7" s="10">
        <f t="shared" si="2"/>
        <v>1752</v>
      </c>
      <c r="M7" s="10">
        <f t="shared" si="3"/>
        <v>146460</v>
      </c>
    </row>
    <row r="8" spans="2:13" ht="15.5" x14ac:dyDescent="0.3">
      <c r="B8" s="102"/>
      <c r="C8" s="9" t="s">
        <v>44</v>
      </c>
      <c r="D8" s="87">
        <v>5</v>
      </c>
      <c r="E8" s="21" t="s">
        <v>21</v>
      </c>
      <c r="F8" s="1" t="s">
        <v>680</v>
      </c>
      <c r="H8" s="58">
        <v>44197</v>
      </c>
      <c r="I8" s="58">
        <v>44561</v>
      </c>
      <c r="J8" s="10">
        <f t="shared" si="0"/>
        <v>142779</v>
      </c>
      <c r="K8" s="10">
        <f t="shared" si="1"/>
        <v>1533</v>
      </c>
      <c r="L8" s="10">
        <f t="shared" si="2"/>
        <v>1747</v>
      </c>
      <c r="M8" s="10">
        <f t="shared" si="3"/>
        <v>146059</v>
      </c>
    </row>
    <row r="9" spans="2:13" ht="15.5" x14ac:dyDescent="0.4">
      <c r="B9" s="101" t="s">
        <v>61</v>
      </c>
      <c r="C9" s="9" t="s">
        <v>43</v>
      </c>
      <c r="D9" s="86">
        <v>0.6</v>
      </c>
      <c r="E9" s="23" t="s">
        <v>28</v>
      </c>
      <c r="F9" s="1" t="s">
        <v>680</v>
      </c>
      <c r="H9" s="15" t="s">
        <v>16</v>
      </c>
      <c r="I9" s="15"/>
      <c r="J9" s="34">
        <f>SUM(J4:J8)</f>
        <v>634096</v>
      </c>
      <c r="K9" s="34">
        <f>SUM(K4:K8)</f>
        <v>6808</v>
      </c>
      <c r="L9" s="34">
        <f>SUM(L4:L8)</f>
        <v>7759</v>
      </c>
      <c r="M9" s="34">
        <f>SUM(M4:M8)</f>
        <v>648663</v>
      </c>
    </row>
    <row r="10" spans="2:13" ht="15.5" x14ac:dyDescent="0.4">
      <c r="B10" s="102"/>
      <c r="C10" s="9" t="s">
        <v>44</v>
      </c>
      <c r="D10" s="86">
        <v>0.6</v>
      </c>
      <c r="E10" s="23" t="s">
        <v>28</v>
      </c>
      <c r="F10" s="1" t="s">
        <v>680</v>
      </c>
    </row>
    <row r="11" spans="2:13" ht="15.65" customHeight="1" x14ac:dyDescent="0.3">
      <c r="B11" s="101" t="s">
        <v>45</v>
      </c>
      <c r="C11" s="9" t="s">
        <v>43</v>
      </c>
      <c r="D11" s="13">
        <v>183540</v>
      </c>
      <c r="E11" s="21" t="s">
        <v>4</v>
      </c>
      <c r="F11" s="80" t="s">
        <v>39</v>
      </c>
    </row>
    <row r="12" spans="2:13" ht="13" x14ac:dyDescent="0.3">
      <c r="B12" s="102"/>
      <c r="C12" s="9" t="s">
        <v>44</v>
      </c>
      <c r="D12" s="13">
        <v>641788</v>
      </c>
      <c r="E12" s="21" t="s">
        <v>4</v>
      </c>
      <c r="F12" s="80" t="s">
        <v>39</v>
      </c>
    </row>
    <row r="13" spans="2:13" ht="15.65" customHeight="1" x14ac:dyDescent="0.3">
      <c r="B13" s="101" t="s">
        <v>51</v>
      </c>
      <c r="C13" s="9" t="s">
        <v>43</v>
      </c>
      <c r="D13" s="3">
        <v>300</v>
      </c>
      <c r="E13" s="21" t="s">
        <v>9</v>
      </c>
      <c r="F13" s="80" t="s">
        <v>55</v>
      </c>
    </row>
    <row r="14" spans="2:13" ht="13" x14ac:dyDescent="0.3">
      <c r="B14" s="102"/>
      <c r="C14" s="9" t="s">
        <v>44</v>
      </c>
      <c r="D14" s="3">
        <v>45</v>
      </c>
      <c r="E14" s="21" t="s">
        <v>9</v>
      </c>
      <c r="F14" s="80" t="s">
        <v>55</v>
      </c>
    </row>
    <row r="15" spans="2:13" ht="15.65" customHeight="1" x14ac:dyDescent="0.3">
      <c r="B15" s="101" t="s">
        <v>52</v>
      </c>
      <c r="C15" s="9" t="s">
        <v>43</v>
      </c>
      <c r="D15" s="86">
        <v>0.38</v>
      </c>
      <c r="E15" s="21" t="s">
        <v>8</v>
      </c>
      <c r="F15" s="1" t="s">
        <v>680</v>
      </c>
    </row>
    <row r="16" spans="2:13" ht="13" x14ac:dyDescent="0.3">
      <c r="B16" s="102"/>
      <c r="C16" s="9" t="s">
        <v>44</v>
      </c>
      <c r="D16" s="86">
        <v>0.32</v>
      </c>
      <c r="E16" s="21" t="s">
        <v>8</v>
      </c>
      <c r="F16" s="1" t="s">
        <v>680</v>
      </c>
    </row>
    <row r="17" spans="2:14" ht="15.65" customHeight="1" x14ac:dyDescent="0.3">
      <c r="B17" s="101" t="s">
        <v>53</v>
      </c>
      <c r="C17" s="9" t="s">
        <v>43</v>
      </c>
      <c r="D17" s="11">
        <v>8</v>
      </c>
      <c r="E17" s="21" t="s">
        <v>7</v>
      </c>
      <c r="F17" s="80" t="s">
        <v>39</v>
      </c>
    </row>
    <row r="18" spans="2:14" ht="13" x14ac:dyDescent="0.3">
      <c r="B18" s="102"/>
      <c r="C18" s="9" t="s">
        <v>44</v>
      </c>
      <c r="D18" s="11">
        <v>8</v>
      </c>
      <c r="E18" s="21" t="s">
        <v>7</v>
      </c>
      <c r="F18" s="80" t="s">
        <v>39</v>
      </c>
    </row>
    <row r="19" spans="2:14" ht="15.65" customHeight="1" x14ac:dyDescent="0.3">
      <c r="B19" s="101" t="s">
        <v>47</v>
      </c>
      <c r="C19" s="9" t="s">
        <v>43</v>
      </c>
      <c r="D19" s="11">
        <v>138</v>
      </c>
      <c r="E19" s="21" t="s">
        <v>5</v>
      </c>
      <c r="F19" s="80" t="s">
        <v>39</v>
      </c>
      <c r="N19"/>
    </row>
    <row r="20" spans="2:14" ht="13" x14ac:dyDescent="0.3">
      <c r="B20" s="102"/>
      <c r="C20" s="9" t="s">
        <v>44</v>
      </c>
      <c r="D20" s="11">
        <v>138</v>
      </c>
      <c r="E20" s="21" t="s">
        <v>5</v>
      </c>
      <c r="F20" s="80" t="s">
        <v>39</v>
      </c>
    </row>
    <row r="21" spans="2:14" ht="15.65" customHeight="1" x14ac:dyDescent="0.3">
      <c r="B21" s="101" t="s">
        <v>25</v>
      </c>
      <c r="C21" s="9" t="s">
        <v>43</v>
      </c>
      <c r="D21" s="86">
        <v>0.21199999999999999</v>
      </c>
      <c r="E21" s="21" t="s">
        <v>10</v>
      </c>
      <c r="F21" s="1" t="s">
        <v>680</v>
      </c>
    </row>
    <row r="22" spans="2:14" ht="15.65" customHeight="1" x14ac:dyDescent="0.3">
      <c r="B22" s="102"/>
      <c r="C22" s="9" t="s">
        <v>44</v>
      </c>
      <c r="D22" s="86">
        <v>0.21199999999999999</v>
      </c>
      <c r="E22" s="21" t="s">
        <v>10</v>
      </c>
      <c r="F22" s="1" t="s">
        <v>680</v>
      </c>
    </row>
    <row r="23" spans="2:14" ht="15" x14ac:dyDescent="0.3">
      <c r="B23" s="9" t="s">
        <v>26</v>
      </c>
      <c r="C23" s="9"/>
      <c r="D23" s="86">
        <v>5.0000000000000001E-3</v>
      </c>
      <c r="E23" s="22" t="s">
        <v>12</v>
      </c>
      <c r="F23" s="1" t="s">
        <v>680</v>
      </c>
    </row>
    <row r="25" spans="2:14" ht="15" x14ac:dyDescent="0.3">
      <c r="B25" s="6" t="s">
        <v>48</v>
      </c>
      <c r="C25" s="6"/>
    </row>
    <row r="26" spans="2:14" x14ac:dyDescent="0.3">
      <c r="B26" s="103"/>
      <c r="C26" s="103"/>
      <c r="D26" s="103"/>
      <c r="E26" s="103"/>
      <c r="F26" s="103"/>
    </row>
    <row r="27" spans="2:14" ht="14" x14ac:dyDescent="0.3">
      <c r="B27" s="103"/>
      <c r="C27" s="103"/>
      <c r="D27" s="103"/>
      <c r="E27" s="103"/>
      <c r="F27" s="103"/>
      <c r="N27"/>
    </row>
    <row r="28" spans="2:14" x14ac:dyDescent="0.3">
      <c r="B28" s="103"/>
      <c r="C28" s="103"/>
      <c r="D28" s="103"/>
      <c r="E28" s="103"/>
      <c r="F28" s="103"/>
    </row>
    <row r="29" spans="2:14" ht="13" x14ac:dyDescent="0.3">
      <c r="B29" s="97" t="s">
        <v>0</v>
      </c>
      <c r="C29" s="98"/>
      <c r="D29" s="47" t="s">
        <v>1</v>
      </c>
      <c r="E29" s="47" t="s">
        <v>2</v>
      </c>
      <c r="F29" s="47" t="s">
        <v>3</v>
      </c>
    </row>
    <row r="30" spans="2:14" ht="15" x14ac:dyDescent="0.3">
      <c r="B30" s="99" t="s">
        <v>63</v>
      </c>
      <c r="C30" s="100"/>
      <c r="D30" s="16">
        <f>(D3*D11*D7*D19+D3*D12*D8*D20)/(1000*365)</f>
        <v>142779.35210958903</v>
      </c>
      <c r="E30" s="19" t="s">
        <v>64</v>
      </c>
      <c r="F30" s="3" t="s">
        <v>66</v>
      </c>
    </row>
    <row r="31" spans="2:14" x14ac:dyDescent="0.3">
      <c r="B31" s="7"/>
      <c r="C31" s="7"/>
    </row>
    <row r="32" spans="2:14" ht="13" x14ac:dyDescent="0.3">
      <c r="B32" s="6" t="s">
        <v>49</v>
      </c>
      <c r="C32" s="6"/>
    </row>
    <row r="33" spans="2:6" x14ac:dyDescent="0.3">
      <c r="B33" s="103"/>
      <c r="C33" s="103"/>
      <c r="D33" s="103"/>
      <c r="E33" s="103"/>
      <c r="F33" s="103"/>
    </row>
    <row r="34" spans="2:6" x14ac:dyDescent="0.3">
      <c r="B34" s="103"/>
      <c r="C34" s="103"/>
      <c r="D34" s="103"/>
      <c r="E34" s="103"/>
      <c r="F34" s="103"/>
    </row>
    <row r="35" spans="2:6" x14ac:dyDescent="0.3">
      <c r="B35" s="103"/>
      <c r="C35" s="103"/>
      <c r="D35" s="103"/>
      <c r="E35" s="103"/>
      <c r="F35" s="103"/>
    </row>
    <row r="36" spans="2:6" ht="15" x14ac:dyDescent="0.3">
      <c r="B36" s="6" t="s">
        <v>56</v>
      </c>
      <c r="C36" s="6"/>
    </row>
    <row r="37" spans="2:6" x14ac:dyDescent="0.3">
      <c r="B37" s="103"/>
      <c r="C37" s="103"/>
      <c r="D37" s="103"/>
      <c r="E37" s="103"/>
      <c r="F37" s="103"/>
    </row>
    <row r="38" spans="2:6" x14ac:dyDescent="0.3">
      <c r="B38" s="103"/>
      <c r="C38" s="103"/>
      <c r="D38" s="103"/>
      <c r="E38" s="103"/>
      <c r="F38" s="103"/>
    </row>
    <row r="39" spans="2:6" x14ac:dyDescent="0.3">
      <c r="B39" s="104"/>
      <c r="C39" s="104"/>
      <c r="D39" s="104"/>
      <c r="E39" s="104"/>
      <c r="F39" s="104"/>
    </row>
    <row r="40" spans="2:6" ht="13" x14ac:dyDescent="0.3">
      <c r="B40" s="97" t="s">
        <v>0</v>
      </c>
      <c r="C40" s="98"/>
      <c r="D40" s="47" t="s">
        <v>1</v>
      </c>
      <c r="E40" s="47" t="s">
        <v>2</v>
      </c>
      <c r="F40" s="47" t="s">
        <v>3</v>
      </c>
    </row>
    <row r="41" spans="2:6" ht="15" x14ac:dyDescent="0.3">
      <c r="B41" s="99" t="s">
        <v>65</v>
      </c>
      <c r="C41" s="100"/>
      <c r="D41" s="18">
        <f>D4*(D55+D56)</f>
        <v>1532.830655126834</v>
      </c>
      <c r="E41" s="19" t="s">
        <v>64</v>
      </c>
      <c r="F41" s="3" t="s">
        <v>66</v>
      </c>
    </row>
    <row r="42" spans="2:6" x14ac:dyDescent="0.3">
      <c r="B42" s="7"/>
      <c r="C42" s="7"/>
    </row>
    <row r="43" spans="2:6" ht="15" x14ac:dyDescent="0.3">
      <c r="B43" s="6" t="s">
        <v>57</v>
      </c>
      <c r="C43" s="6"/>
    </row>
    <row r="44" spans="2:6" x14ac:dyDescent="0.3">
      <c r="B44" s="103"/>
      <c r="C44" s="103"/>
      <c r="D44" s="103"/>
      <c r="E44" s="103"/>
      <c r="F44" s="103"/>
    </row>
    <row r="45" spans="2:6" x14ac:dyDescent="0.3">
      <c r="B45" s="103"/>
      <c r="C45" s="103"/>
      <c r="D45" s="103"/>
      <c r="E45" s="103"/>
      <c r="F45" s="103"/>
    </row>
    <row r="46" spans="2:6" x14ac:dyDescent="0.3">
      <c r="B46" s="103"/>
      <c r="C46" s="103"/>
      <c r="D46" s="103"/>
      <c r="E46" s="103"/>
      <c r="F46" s="103"/>
    </row>
    <row r="47" spans="2:6" x14ac:dyDescent="0.3">
      <c r="B47" s="103"/>
      <c r="C47" s="103"/>
      <c r="D47" s="103"/>
      <c r="E47" s="103"/>
      <c r="F47" s="103"/>
    </row>
    <row r="48" spans="2:6" x14ac:dyDescent="0.3">
      <c r="B48" s="103"/>
      <c r="C48" s="103"/>
      <c r="D48" s="103"/>
      <c r="E48" s="103"/>
      <c r="F48" s="103"/>
    </row>
    <row r="49" spans="2:6" x14ac:dyDescent="0.3">
      <c r="B49" s="103"/>
      <c r="C49" s="103"/>
      <c r="D49" s="103"/>
      <c r="E49" s="103"/>
      <c r="F49" s="103"/>
    </row>
    <row r="50" spans="2:6" ht="15" x14ac:dyDescent="0.3">
      <c r="B50" s="6" t="s">
        <v>58</v>
      </c>
      <c r="C50" s="6"/>
    </row>
    <row r="51" spans="2:6" x14ac:dyDescent="0.3">
      <c r="B51" s="103"/>
      <c r="C51" s="103"/>
      <c r="D51" s="103"/>
      <c r="E51" s="103"/>
      <c r="F51" s="103"/>
    </row>
    <row r="52" spans="2:6" x14ac:dyDescent="0.3">
      <c r="B52" s="103"/>
      <c r="C52" s="103"/>
      <c r="D52" s="103"/>
      <c r="E52" s="103"/>
      <c r="F52" s="103"/>
    </row>
    <row r="53" spans="2:6" x14ac:dyDescent="0.3">
      <c r="B53" s="104"/>
      <c r="C53" s="104"/>
      <c r="D53" s="104"/>
      <c r="E53" s="104"/>
      <c r="F53" s="104"/>
    </row>
    <row r="54" spans="2:6" ht="13" x14ac:dyDescent="0.3">
      <c r="B54" s="97" t="s">
        <v>0</v>
      </c>
      <c r="C54" s="98"/>
      <c r="D54" s="47" t="s">
        <v>1</v>
      </c>
      <c r="E54" s="47" t="s">
        <v>2</v>
      </c>
      <c r="F54" s="47" t="s">
        <v>3</v>
      </c>
    </row>
    <row r="55" spans="2:6" ht="15" x14ac:dyDescent="0.3">
      <c r="B55" s="99" t="s">
        <v>54</v>
      </c>
      <c r="C55" s="100"/>
      <c r="D55" s="17">
        <f>D11*D13*D15*D17*D19*(1-D21)/(1000*24*1000)*D5*44/28+D12*D14*D16*D18*D20*(1-D22)/(1000*24*1000)*D6*44/28</f>
        <v>3.9629212280064001</v>
      </c>
      <c r="E55" s="3" t="s">
        <v>11</v>
      </c>
      <c r="F55" s="3" t="s">
        <v>66</v>
      </c>
    </row>
    <row r="56" spans="2:6" ht="15" x14ac:dyDescent="0.3">
      <c r="B56" s="99" t="s">
        <v>59</v>
      </c>
      <c r="C56" s="100"/>
      <c r="D56" s="17">
        <f>D11*D13*D15*D17*D19*(1-D21)*D21*D23/(1000*24*1000)*44/28+D12*D14*D16*D18*D20*(1-D22)*D22*D23/(1000*24*1000)*44/28</f>
        <v>1.8213453951137279</v>
      </c>
      <c r="E56" s="3" t="s">
        <v>11</v>
      </c>
      <c r="F56" s="3" t="s">
        <v>66</v>
      </c>
    </row>
    <row r="57" spans="2:6" ht="13" x14ac:dyDescent="0.3">
      <c r="B57" s="20"/>
      <c r="C57" s="20"/>
      <c r="D57" s="20"/>
      <c r="E57" s="20"/>
      <c r="F57" s="20"/>
    </row>
    <row r="58" spans="2:6" ht="15" x14ac:dyDescent="0.3">
      <c r="B58" s="6" t="s">
        <v>60</v>
      </c>
      <c r="C58" s="6"/>
    </row>
    <row r="59" spans="2:6" x14ac:dyDescent="0.3">
      <c r="B59" s="103"/>
      <c r="C59" s="103"/>
      <c r="D59" s="103"/>
      <c r="E59" s="103"/>
      <c r="F59" s="103"/>
    </row>
    <row r="60" spans="2:6" x14ac:dyDescent="0.3">
      <c r="B60" s="103"/>
      <c r="C60" s="103"/>
      <c r="D60" s="103"/>
      <c r="E60" s="103"/>
      <c r="F60" s="103"/>
    </row>
    <row r="61" spans="2:6" x14ac:dyDescent="0.3">
      <c r="B61" s="104"/>
      <c r="C61" s="104"/>
      <c r="D61" s="104"/>
      <c r="E61" s="104"/>
      <c r="F61" s="104"/>
    </row>
    <row r="62" spans="2:6" ht="13" x14ac:dyDescent="0.3">
      <c r="B62" s="97" t="s">
        <v>0</v>
      </c>
      <c r="C62" s="98"/>
      <c r="D62" s="47" t="s">
        <v>1</v>
      </c>
      <c r="E62" s="47" t="s">
        <v>2</v>
      </c>
      <c r="F62" s="47" t="s">
        <v>3</v>
      </c>
    </row>
    <row r="63" spans="2:6" ht="15.5" x14ac:dyDescent="0.3">
      <c r="B63" s="99" t="s">
        <v>62</v>
      </c>
      <c r="C63" s="100"/>
      <c r="D63" s="18">
        <f>D3*D9*D11*D17*D19/(24*365*1000)+D3*D10*D12*D18*D20/(24*365*1000)</f>
        <v>1747.4341873972603</v>
      </c>
      <c r="E63" s="8" t="s">
        <v>18</v>
      </c>
      <c r="F63" s="3" t="s">
        <v>66</v>
      </c>
    </row>
    <row r="64" spans="2:6" x14ac:dyDescent="0.3">
      <c r="B64" s="7"/>
      <c r="C64" s="7"/>
    </row>
    <row r="65" spans="2:3" x14ac:dyDescent="0.3">
      <c r="B65" s="7"/>
      <c r="C65" s="7"/>
    </row>
    <row r="66" spans="2:3" x14ac:dyDescent="0.3">
      <c r="B66" s="7"/>
      <c r="C66" s="7"/>
    </row>
    <row r="67" spans="2:3" x14ac:dyDescent="0.3">
      <c r="B67" s="7"/>
      <c r="C67" s="7"/>
    </row>
    <row r="68" spans="2:3" x14ac:dyDescent="0.3">
      <c r="B68" s="7"/>
      <c r="C68" s="7"/>
    </row>
    <row r="69" spans="2:3" x14ac:dyDescent="0.3">
      <c r="B69" s="7"/>
      <c r="C69" s="7"/>
    </row>
    <row r="70" spans="2:3" x14ac:dyDescent="0.3">
      <c r="B70" s="7"/>
      <c r="C70" s="7"/>
    </row>
    <row r="71" spans="2:3" x14ac:dyDescent="0.3">
      <c r="B71" s="7"/>
      <c r="C71" s="7"/>
    </row>
  </sheetData>
  <mergeCells count="29">
    <mergeCell ref="B56:C56"/>
    <mergeCell ref="B19:B20"/>
    <mergeCell ref="B2:C2"/>
    <mergeCell ref="B3:C3"/>
    <mergeCell ref="B4:C4"/>
    <mergeCell ref="B5:C5"/>
    <mergeCell ref="B6:C6"/>
    <mergeCell ref="B7:B8"/>
    <mergeCell ref="B9:B10"/>
    <mergeCell ref="B11:B12"/>
    <mergeCell ref="B13:B14"/>
    <mergeCell ref="B15:B16"/>
    <mergeCell ref="B17:B18"/>
    <mergeCell ref="H2:I2"/>
    <mergeCell ref="B63:C63"/>
    <mergeCell ref="B62:C62"/>
    <mergeCell ref="B21:B22"/>
    <mergeCell ref="B37:F39"/>
    <mergeCell ref="B41:C41"/>
    <mergeCell ref="B30:C30"/>
    <mergeCell ref="B29:C29"/>
    <mergeCell ref="B40:C40"/>
    <mergeCell ref="B26:F28"/>
    <mergeCell ref="B33:F35"/>
    <mergeCell ref="B44:F49"/>
    <mergeCell ref="B51:F53"/>
    <mergeCell ref="B59:F61"/>
    <mergeCell ref="B54:C54"/>
    <mergeCell ref="B55:C55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F342-E290-4423-8D6E-7854ACA4083F}">
  <dimension ref="B2:O27"/>
  <sheetViews>
    <sheetView topLeftCell="A9" workbookViewId="0">
      <selection activeCell="B10" sqref="B10:H16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7.332031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559</v>
      </c>
      <c r="D2" s="91" t="s">
        <v>560</v>
      </c>
      <c r="E2" s="91" t="s">
        <v>34</v>
      </c>
      <c r="F2" s="91" t="s">
        <v>561</v>
      </c>
      <c r="G2" s="91" t="s">
        <v>96</v>
      </c>
      <c r="H2" s="91" t="s">
        <v>562</v>
      </c>
      <c r="I2" s="85" t="s">
        <v>98</v>
      </c>
    </row>
    <row r="3" spans="2:15" ht="13.25" customHeight="1" x14ac:dyDescent="0.3">
      <c r="B3" s="26" t="s">
        <v>563</v>
      </c>
      <c r="C3" s="27">
        <v>0.13589999999999999</v>
      </c>
      <c r="D3" s="28">
        <v>1.03</v>
      </c>
      <c r="E3" s="28">
        <v>31.33</v>
      </c>
      <c r="F3" s="29">
        <f>E3/1.724</f>
        <v>18.172853828306263</v>
      </c>
      <c r="G3" s="30">
        <v>30</v>
      </c>
      <c r="H3" s="31">
        <f>ROUND(F3*D3*G3*(1-C3)*0.1,2)</f>
        <v>48.52</v>
      </c>
      <c r="I3" s="118" t="s">
        <v>99</v>
      </c>
      <c r="K3" s="25"/>
    </row>
    <row r="4" spans="2:15" x14ac:dyDescent="0.3">
      <c r="B4" s="26" t="s">
        <v>564</v>
      </c>
      <c r="C4" s="27">
        <v>0.1552</v>
      </c>
      <c r="D4" s="28">
        <v>0.81</v>
      </c>
      <c r="E4" s="28">
        <v>57.35</v>
      </c>
      <c r="F4" s="29">
        <f t="shared" ref="F4:F8" si="0">E4/1.724</f>
        <v>33.26566125290023</v>
      </c>
      <c r="G4" s="30">
        <v>30</v>
      </c>
      <c r="H4" s="31">
        <f t="shared" ref="H4:H8" si="1">ROUND(F4*D4*G4*(1-C4)*0.1,2)</f>
        <v>68.290000000000006</v>
      </c>
      <c r="I4" s="119"/>
      <c r="K4" s="25"/>
    </row>
    <row r="5" spans="2:15" x14ac:dyDescent="0.3">
      <c r="B5" s="26" t="s">
        <v>565</v>
      </c>
      <c r="C5" s="27">
        <v>0.16689999999999999</v>
      </c>
      <c r="D5" s="28">
        <v>0.91</v>
      </c>
      <c r="E5" s="28">
        <v>28.16</v>
      </c>
      <c r="F5" s="29">
        <f t="shared" si="0"/>
        <v>16.334106728538284</v>
      </c>
      <c r="G5" s="30">
        <v>30</v>
      </c>
      <c r="H5" s="31">
        <f t="shared" si="1"/>
        <v>37.15</v>
      </c>
      <c r="I5" s="119"/>
      <c r="K5" s="25"/>
    </row>
    <row r="6" spans="2:15" x14ac:dyDescent="0.3">
      <c r="B6" s="26" t="s">
        <v>566</v>
      </c>
      <c r="C6" s="27">
        <v>0.14940000000000001</v>
      </c>
      <c r="D6" s="28">
        <v>1.08</v>
      </c>
      <c r="E6" s="28">
        <v>57.79</v>
      </c>
      <c r="F6" s="29">
        <f t="shared" si="0"/>
        <v>33.52088167053364</v>
      </c>
      <c r="G6" s="30">
        <v>30</v>
      </c>
      <c r="H6" s="31">
        <f t="shared" si="1"/>
        <v>92.38</v>
      </c>
      <c r="I6" s="119"/>
      <c r="K6" s="25"/>
    </row>
    <row r="7" spans="2:15" x14ac:dyDescent="0.3">
      <c r="B7" s="26" t="s">
        <v>567</v>
      </c>
      <c r="C7" s="27">
        <v>0.16700000000000001</v>
      </c>
      <c r="D7" s="28">
        <v>1.1200000000000001</v>
      </c>
      <c r="E7" s="28">
        <v>69</v>
      </c>
      <c r="F7" s="29">
        <f t="shared" si="0"/>
        <v>40.023201856148489</v>
      </c>
      <c r="G7" s="30">
        <v>30</v>
      </c>
      <c r="H7" s="31">
        <f t="shared" si="1"/>
        <v>112.02</v>
      </c>
      <c r="I7" s="119"/>
      <c r="K7" s="25"/>
    </row>
    <row r="8" spans="2:15" x14ac:dyDescent="0.3">
      <c r="B8" s="26" t="s">
        <v>568</v>
      </c>
      <c r="C8" s="27">
        <v>0.1497</v>
      </c>
      <c r="D8" s="28">
        <v>0.94</v>
      </c>
      <c r="E8" s="28">
        <v>57.22</v>
      </c>
      <c r="F8" s="29">
        <f t="shared" si="0"/>
        <v>33.190255220417633</v>
      </c>
      <c r="G8" s="30">
        <v>30</v>
      </c>
      <c r="H8" s="31">
        <f t="shared" si="1"/>
        <v>79.59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575</v>
      </c>
      <c r="D10" s="91" t="s">
        <v>576</v>
      </c>
      <c r="E10" s="91" t="s">
        <v>34</v>
      </c>
      <c r="F10" s="91" t="s">
        <v>577</v>
      </c>
      <c r="G10" s="91" t="s">
        <v>96</v>
      </c>
      <c r="H10" s="91" t="s">
        <v>578</v>
      </c>
      <c r="I10" s="85" t="s">
        <v>98</v>
      </c>
    </row>
    <row r="11" spans="2:15" ht="14.4" customHeight="1" x14ac:dyDescent="0.3">
      <c r="B11" s="26" t="s">
        <v>579</v>
      </c>
      <c r="C11" s="27">
        <v>0.15160000000000001</v>
      </c>
      <c r="D11" s="28">
        <v>1.04</v>
      </c>
      <c r="E11" s="28">
        <v>36.630000000000003</v>
      </c>
      <c r="F11" s="29">
        <f t="shared" ref="F11:F16" si="2">E11/1.724</f>
        <v>21.247099767981439</v>
      </c>
      <c r="G11" s="30">
        <v>30</v>
      </c>
      <c r="H11" s="31">
        <f>ROUND(F11*D11*G11*(1-C11)*0.1,2)</f>
        <v>56.24</v>
      </c>
      <c r="I11" s="118" t="s">
        <v>99</v>
      </c>
    </row>
    <row r="12" spans="2:15" x14ac:dyDescent="0.3">
      <c r="B12" s="26" t="s">
        <v>580</v>
      </c>
      <c r="C12" s="27">
        <v>0.1585</v>
      </c>
      <c r="D12" s="28">
        <v>0.79</v>
      </c>
      <c r="E12" s="28">
        <v>59.29</v>
      </c>
      <c r="F12" s="29">
        <f t="shared" si="2"/>
        <v>34.390951276102086</v>
      </c>
      <c r="G12" s="30">
        <v>30</v>
      </c>
      <c r="H12" s="31">
        <f t="shared" ref="H12:H16" si="3">ROUND(F12*D12*G12*(1-C12)*0.1,2)</f>
        <v>68.59</v>
      </c>
      <c r="I12" s="119"/>
    </row>
    <row r="13" spans="2:15" x14ac:dyDescent="0.3">
      <c r="B13" s="26" t="s">
        <v>581</v>
      </c>
      <c r="C13" s="27">
        <v>0.16619999999999999</v>
      </c>
      <c r="D13" s="26">
        <v>0.95</v>
      </c>
      <c r="E13" s="26">
        <v>30.36</v>
      </c>
      <c r="F13" s="29">
        <f t="shared" si="2"/>
        <v>17.610208816705338</v>
      </c>
      <c r="G13" s="30">
        <v>30</v>
      </c>
      <c r="H13" s="31">
        <f t="shared" si="3"/>
        <v>41.85</v>
      </c>
      <c r="I13" s="119"/>
    </row>
    <row r="14" spans="2:15" x14ac:dyDescent="0.3">
      <c r="B14" s="26" t="s">
        <v>582</v>
      </c>
      <c r="C14" s="27">
        <v>0.15379999999999999</v>
      </c>
      <c r="D14" s="26">
        <v>1.0900000000000001</v>
      </c>
      <c r="E14" s="26">
        <v>59.11</v>
      </c>
      <c r="F14" s="29">
        <f t="shared" si="2"/>
        <v>34.286542923433878</v>
      </c>
      <c r="G14" s="30">
        <v>30</v>
      </c>
      <c r="H14" s="31">
        <f t="shared" si="3"/>
        <v>94.87</v>
      </c>
      <c r="I14" s="119"/>
    </row>
    <row r="15" spans="2:15" x14ac:dyDescent="0.3">
      <c r="B15" s="26" t="s">
        <v>583</v>
      </c>
      <c r="C15" s="27">
        <v>0.15840000000000001</v>
      </c>
      <c r="D15" s="28">
        <v>1.1100000000000001</v>
      </c>
      <c r="E15" s="28">
        <v>70.819999999999993</v>
      </c>
      <c r="F15" s="29">
        <f t="shared" si="2"/>
        <v>41.078886310904871</v>
      </c>
      <c r="G15" s="30">
        <v>30</v>
      </c>
      <c r="H15" s="31">
        <f t="shared" si="3"/>
        <v>115.12</v>
      </c>
      <c r="I15" s="119"/>
    </row>
    <row r="16" spans="2:15" x14ac:dyDescent="0.3">
      <c r="B16" s="26" t="s">
        <v>584</v>
      </c>
      <c r="C16" s="27">
        <v>0.15340000000000001</v>
      </c>
      <c r="D16" s="26">
        <v>1</v>
      </c>
      <c r="E16" s="26">
        <v>59.33</v>
      </c>
      <c r="F16" s="29">
        <f t="shared" si="2"/>
        <v>34.414153132250583</v>
      </c>
      <c r="G16" s="30">
        <v>30</v>
      </c>
      <c r="H16" s="31">
        <f t="shared" si="3"/>
        <v>87.41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569</v>
      </c>
      <c r="C19" s="26" t="s">
        <v>145</v>
      </c>
      <c r="D19" s="89">
        <v>100.9361955</v>
      </c>
      <c r="E19" s="89">
        <v>38.220743710000001</v>
      </c>
      <c r="F19" s="90" t="s">
        <v>257</v>
      </c>
      <c r="G19" s="70">
        <f t="shared" ref="G19:G24" si="4">H11-H3</f>
        <v>7.7199999999999989</v>
      </c>
    </row>
    <row r="20" spans="2:7" x14ac:dyDescent="0.3">
      <c r="B20" s="26" t="s">
        <v>570</v>
      </c>
      <c r="C20" s="26" t="s">
        <v>146</v>
      </c>
      <c r="D20" s="89">
        <v>101.3766083</v>
      </c>
      <c r="E20" s="89">
        <v>38.156475</v>
      </c>
      <c r="F20" s="90" t="s">
        <v>257</v>
      </c>
      <c r="G20" s="70">
        <f t="shared" si="4"/>
        <v>0.29999999999999716</v>
      </c>
    </row>
    <row r="21" spans="2:7" x14ac:dyDescent="0.3">
      <c r="B21" s="26" t="s">
        <v>571</v>
      </c>
      <c r="C21" s="26" t="s">
        <v>147</v>
      </c>
      <c r="D21" s="89">
        <v>101.4985861</v>
      </c>
      <c r="E21" s="89">
        <v>38.44691667</v>
      </c>
      <c r="F21" s="90" t="s">
        <v>257</v>
      </c>
      <c r="G21" s="70">
        <f t="shared" si="4"/>
        <v>4.7000000000000028</v>
      </c>
    </row>
    <row r="22" spans="2:7" x14ac:dyDescent="0.3">
      <c r="B22" s="26" t="s">
        <v>572</v>
      </c>
      <c r="C22" s="26" t="s">
        <v>148</v>
      </c>
      <c r="D22" s="89">
        <v>101.48467789999999</v>
      </c>
      <c r="E22" s="89">
        <v>37.958435629999997</v>
      </c>
      <c r="F22" s="90" t="s">
        <v>257</v>
      </c>
      <c r="G22" s="70">
        <f t="shared" si="4"/>
        <v>2.4900000000000091</v>
      </c>
    </row>
    <row r="23" spans="2:7" x14ac:dyDescent="0.3">
      <c r="B23" s="26" t="s">
        <v>573</v>
      </c>
      <c r="C23" s="26" t="s">
        <v>149</v>
      </c>
      <c r="D23" s="89">
        <v>101.8984833</v>
      </c>
      <c r="E23" s="89">
        <v>37.863605560000003</v>
      </c>
      <c r="F23" s="90" t="s">
        <v>257</v>
      </c>
      <c r="G23" s="70">
        <f t="shared" si="4"/>
        <v>3.1000000000000085</v>
      </c>
    </row>
    <row r="24" spans="2:7" x14ac:dyDescent="0.3">
      <c r="B24" s="26" t="s">
        <v>574</v>
      </c>
      <c r="C24" s="26" t="s">
        <v>150</v>
      </c>
      <c r="D24" s="89">
        <v>101.88681939999999</v>
      </c>
      <c r="E24" s="89">
        <v>37.820158329999998</v>
      </c>
      <c r="F24" s="90" t="s">
        <v>257</v>
      </c>
      <c r="G24" s="70">
        <f t="shared" si="4"/>
        <v>7.8199999999999932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4.3600000000000003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2.7369310672113492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1.1173474293064696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70B4-470D-47C7-A51B-DEC28B3FD2B7}">
  <dimension ref="B2:O27"/>
  <sheetViews>
    <sheetView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7.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588</v>
      </c>
      <c r="D2" s="91" t="s">
        <v>585</v>
      </c>
      <c r="E2" s="91" t="s">
        <v>34</v>
      </c>
      <c r="F2" s="91" t="s">
        <v>586</v>
      </c>
      <c r="G2" s="91" t="s">
        <v>96</v>
      </c>
      <c r="H2" s="91" t="s">
        <v>587</v>
      </c>
      <c r="I2" s="85" t="s">
        <v>98</v>
      </c>
    </row>
    <row r="3" spans="2:15" ht="13.25" customHeight="1" x14ac:dyDescent="0.3">
      <c r="B3" s="26" t="s">
        <v>589</v>
      </c>
      <c r="C3" s="27">
        <v>0.16220000000000001</v>
      </c>
      <c r="D3" s="28">
        <v>1.1200000000000001</v>
      </c>
      <c r="E3" s="28">
        <v>56.55</v>
      </c>
      <c r="F3" s="29">
        <f>E3/1.724</f>
        <v>32.801624129930396</v>
      </c>
      <c r="G3" s="30">
        <v>30</v>
      </c>
      <c r="H3" s="31">
        <f>ROUND(F3*D3*G3*(1-C3)*0.1,2)</f>
        <v>92.34</v>
      </c>
      <c r="I3" s="118" t="s">
        <v>99</v>
      </c>
      <c r="K3" s="25"/>
    </row>
    <row r="4" spans="2:15" x14ac:dyDescent="0.3">
      <c r="B4" s="26" t="s">
        <v>590</v>
      </c>
      <c r="C4" s="27">
        <v>0.09</v>
      </c>
      <c r="D4" s="28">
        <v>0.94</v>
      </c>
      <c r="E4" s="28">
        <v>64.13</v>
      </c>
      <c r="F4" s="29">
        <f t="shared" ref="F4:F8" si="0">E4/1.724</f>
        <v>37.198375870069604</v>
      </c>
      <c r="G4" s="30">
        <v>30</v>
      </c>
      <c r="H4" s="31">
        <f t="shared" ref="H4:H8" si="1">ROUND(F4*D4*G4*(1-C4)*0.1,2)</f>
        <v>95.46</v>
      </c>
      <c r="I4" s="119"/>
      <c r="K4" s="25"/>
    </row>
    <row r="5" spans="2:15" x14ac:dyDescent="0.3">
      <c r="B5" s="26" t="s">
        <v>591</v>
      </c>
      <c r="C5" s="27">
        <v>0.14219999999999999</v>
      </c>
      <c r="D5" s="28">
        <v>1.03</v>
      </c>
      <c r="E5" s="28">
        <v>52.31</v>
      </c>
      <c r="F5" s="29">
        <f t="shared" si="0"/>
        <v>30.342227378190255</v>
      </c>
      <c r="G5" s="30">
        <v>30</v>
      </c>
      <c r="H5" s="31">
        <f t="shared" si="1"/>
        <v>80.430000000000007</v>
      </c>
      <c r="I5" s="119"/>
      <c r="K5" s="25"/>
    </row>
    <row r="6" spans="2:15" x14ac:dyDescent="0.3">
      <c r="B6" s="26" t="s">
        <v>592</v>
      </c>
      <c r="C6" s="27">
        <v>0.1424</v>
      </c>
      <c r="D6" s="28">
        <v>0.96</v>
      </c>
      <c r="E6" s="28">
        <v>52.49</v>
      </c>
      <c r="F6" s="29">
        <f t="shared" si="0"/>
        <v>30.446635730858471</v>
      </c>
      <c r="G6" s="30">
        <v>30</v>
      </c>
      <c r="H6" s="31">
        <f t="shared" si="1"/>
        <v>75.2</v>
      </c>
      <c r="I6" s="119"/>
      <c r="K6" s="25"/>
    </row>
    <row r="7" spans="2:15" x14ac:dyDescent="0.3">
      <c r="B7" s="26" t="s">
        <v>593</v>
      </c>
      <c r="C7" s="27">
        <v>0.10340000000000001</v>
      </c>
      <c r="D7" s="28">
        <v>1.19</v>
      </c>
      <c r="E7" s="28">
        <v>59.61</v>
      </c>
      <c r="F7" s="29">
        <f t="shared" si="0"/>
        <v>34.576566125290022</v>
      </c>
      <c r="G7" s="30">
        <v>30</v>
      </c>
      <c r="H7" s="31">
        <f t="shared" si="1"/>
        <v>110.67</v>
      </c>
      <c r="I7" s="119"/>
      <c r="K7" s="25"/>
    </row>
    <row r="8" spans="2:15" x14ac:dyDescent="0.3">
      <c r="B8" s="26" t="s">
        <v>594</v>
      </c>
      <c r="C8" s="27">
        <v>0.15260000000000001</v>
      </c>
      <c r="D8" s="28">
        <v>1.1000000000000001</v>
      </c>
      <c r="E8" s="28">
        <v>36.479999999999997</v>
      </c>
      <c r="F8" s="29">
        <f t="shared" si="0"/>
        <v>21.160092807424594</v>
      </c>
      <c r="G8" s="30">
        <v>30</v>
      </c>
      <c r="H8" s="31">
        <f t="shared" si="1"/>
        <v>59.17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601</v>
      </c>
      <c r="D10" s="91" t="s">
        <v>602</v>
      </c>
      <c r="E10" s="91" t="s">
        <v>34</v>
      </c>
      <c r="F10" s="91" t="s">
        <v>603</v>
      </c>
      <c r="G10" s="91" t="s">
        <v>96</v>
      </c>
      <c r="H10" s="91" t="s">
        <v>604</v>
      </c>
      <c r="I10" s="85" t="s">
        <v>98</v>
      </c>
    </row>
    <row r="11" spans="2:15" ht="14.4" customHeight="1" x14ac:dyDescent="0.3">
      <c r="B11" s="26" t="s">
        <v>605</v>
      </c>
      <c r="C11" s="27">
        <v>0.1394</v>
      </c>
      <c r="D11" s="28">
        <v>1.17</v>
      </c>
      <c r="E11" s="28">
        <v>59.41</v>
      </c>
      <c r="F11" s="29">
        <f t="shared" ref="F11:F16" si="2">E11/1.724</f>
        <v>34.460556844547561</v>
      </c>
      <c r="G11" s="30">
        <v>30</v>
      </c>
      <c r="H11" s="31">
        <f>ROUND(F11*D11*G11*(1-C11)*0.1,2)</f>
        <v>104.1</v>
      </c>
      <c r="I11" s="118" t="s">
        <v>99</v>
      </c>
    </row>
    <row r="12" spans="2:15" x14ac:dyDescent="0.3">
      <c r="B12" s="26" t="s">
        <v>606</v>
      </c>
      <c r="C12" s="27">
        <v>0.1532</v>
      </c>
      <c r="D12" s="28">
        <v>1.08</v>
      </c>
      <c r="E12" s="28">
        <v>65.989999999999995</v>
      </c>
      <c r="F12" s="29">
        <f t="shared" si="2"/>
        <v>38.277262180974475</v>
      </c>
      <c r="G12" s="30">
        <v>30</v>
      </c>
      <c r="H12" s="31">
        <f t="shared" ref="H12:H16" si="3">ROUND(F12*D12*G12*(1-C12)*0.1,2)</f>
        <v>105.02</v>
      </c>
      <c r="I12" s="119"/>
    </row>
    <row r="13" spans="2:15" x14ac:dyDescent="0.3">
      <c r="B13" s="26" t="s">
        <v>607</v>
      </c>
      <c r="C13" s="27">
        <v>0.13800000000000001</v>
      </c>
      <c r="D13" s="26">
        <v>1.02</v>
      </c>
      <c r="E13" s="26">
        <v>59.81</v>
      </c>
      <c r="F13" s="29">
        <f t="shared" si="2"/>
        <v>34.692575406032482</v>
      </c>
      <c r="G13" s="30">
        <v>30</v>
      </c>
      <c r="H13" s="31">
        <f t="shared" si="3"/>
        <v>91.51</v>
      </c>
      <c r="I13" s="119"/>
    </row>
    <row r="14" spans="2:15" x14ac:dyDescent="0.3">
      <c r="B14" s="26" t="s">
        <v>608</v>
      </c>
      <c r="C14" s="27">
        <v>0.10970000000000001</v>
      </c>
      <c r="D14" s="26">
        <v>0.93</v>
      </c>
      <c r="E14" s="26">
        <v>53.76</v>
      </c>
      <c r="F14" s="29">
        <f t="shared" si="2"/>
        <v>31.183294663573086</v>
      </c>
      <c r="G14" s="30">
        <v>30</v>
      </c>
      <c r="H14" s="31">
        <f t="shared" si="3"/>
        <v>77.459999999999994</v>
      </c>
      <c r="I14" s="119"/>
    </row>
    <row r="15" spans="2:15" x14ac:dyDescent="0.3">
      <c r="B15" s="26" t="s">
        <v>609</v>
      </c>
      <c r="C15" s="27">
        <v>0.1159</v>
      </c>
      <c r="D15" s="28">
        <v>1.2</v>
      </c>
      <c r="E15" s="28">
        <v>61.99</v>
      </c>
      <c r="F15" s="29">
        <f t="shared" si="2"/>
        <v>35.957076566125295</v>
      </c>
      <c r="G15" s="30">
        <v>30</v>
      </c>
      <c r="H15" s="31">
        <f t="shared" si="3"/>
        <v>114.44</v>
      </c>
      <c r="I15" s="119"/>
    </row>
    <row r="16" spans="2:15" x14ac:dyDescent="0.3">
      <c r="B16" s="26" t="s">
        <v>610</v>
      </c>
      <c r="C16" s="27">
        <v>9.4200000000000006E-2</v>
      </c>
      <c r="D16" s="26">
        <v>1.1499999999999999</v>
      </c>
      <c r="E16" s="26">
        <v>36.57</v>
      </c>
      <c r="F16" s="29">
        <f t="shared" si="2"/>
        <v>21.212296983758701</v>
      </c>
      <c r="G16" s="30">
        <v>30</v>
      </c>
      <c r="H16" s="31">
        <f t="shared" si="3"/>
        <v>66.290000000000006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595</v>
      </c>
      <c r="C19" s="26" t="s">
        <v>145</v>
      </c>
      <c r="D19" s="89">
        <v>100.61831239999999</v>
      </c>
      <c r="E19" s="89">
        <v>38.432189469999997</v>
      </c>
      <c r="F19" s="90" t="s">
        <v>368</v>
      </c>
      <c r="G19" s="70">
        <f t="shared" ref="G19:G24" si="4">H11-H3</f>
        <v>11.759999999999991</v>
      </c>
    </row>
    <row r="20" spans="2:7" x14ac:dyDescent="0.3">
      <c r="B20" s="26" t="s">
        <v>596</v>
      </c>
      <c r="C20" s="26" t="s">
        <v>146</v>
      </c>
      <c r="D20" s="89">
        <v>101.3403027</v>
      </c>
      <c r="E20" s="89">
        <v>38.07660465</v>
      </c>
      <c r="F20" s="90" t="s">
        <v>368</v>
      </c>
      <c r="G20" s="70">
        <f t="shared" si="4"/>
        <v>9.5600000000000023</v>
      </c>
    </row>
    <row r="21" spans="2:7" x14ac:dyDescent="0.3">
      <c r="B21" s="26" t="s">
        <v>597</v>
      </c>
      <c r="C21" s="26" t="s">
        <v>147</v>
      </c>
      <c r="D21" s="89">
        <v>101.4814478</v>
      </c>
      <c r="E21" s="89">
        <v>37.964448740000002</v>
      </c>
      <c r="F21" s="90" t="s">
        <v>368</v>
      </c>
      <c r="G21" s="70">
        <f t="shared" si="4"/>
        <v>11.079999999999998</v>
      </c>
    </row>
    <row r="22" spans="2:7" x14ac:dyDescent="0.3">
      <c r="B22" s="26" t="s">
        <v>598</v>
      </c>
      <c r="C22" s="26" t="s">
        <v>148</v>
      </c>
      <c r="D22" s="89">
        <v>101.5347</v>
      </c>
      <c r="E22" s="89">
        <v>37.97769444</v>
      </c>
      <c r="F22" s="90" t="s">
        <v>368</v>
      </c>
      <c r="G22" s="70">
        <f t="shared" si="4"/>
        <v>2.2599999999999909</v>
      </c>
    </row>
    <row r="23" spans="2:7" x14ac:dyDescent="0.3">
      <c r="B23" s="26" t="s">
        <v>599</v>
      </c>
      <c r="C23" s="26" t="s">
        <v>149</v>
      </c>
      <c r="D23" s="89">
        <v>101.67263060000001</v>
      </c>
      <c r="E23" s="89">
        <v>37.988822220000003</v>
      </c>
      <c r="F23" s="90" t="s">
        <v>368</v>
      </c>
      <c r="G23" s="70">
        <f t="shared" si="4"/>
        <v>3.769999999999996</v>
      </c>
    </row>
    <row r="24" spans="2:7" x14ac:dyDescent="0.3">
      <c r="B24" s="26" t="s">
        <v>600</v>
      </c>
      <c r="C24" s="26" t="s">
        <v>150</v>
      </c>
      <c r="D24" s="89">
        <v>101.8291</v>
      </c>
      <c r="E24" s="89">
        <v>37.786997220000003</v>
      </c>
      <c r="F24" s="90" t="s">
        <v>368</v>
      </c>
      <c r="G24" s="70">
        <f t="shared" si="4"/>
        <v>7.1200000000000045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7.59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3.5747280393836345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1.4593766109516058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C150-3EC7-4C53-B886-6AE90F90C4EB}">
  <dimension ref="B2:O27"/>
  <sheetViews>
    <sheetView topLeftCell="A9" workbookViewId="0">
      <selection activeCell="B10" sqref="B10:H16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7.66406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611</v>
      </c>
      <c r="D2" s="91" t="s">
        <v>612</v>
      </c>
      <c r="E2" s="91" t="s">
        <v>34</v>
      </c>
      <c r="F2" s="91" t="s">
        <v>613</v>
      </c>
      <c r="G2" s="91" t="s">
        <v>96</v>
      </c>
      <c r="H2" s="91" t="s">
        <v>614</v>
      </c>
      <c r="I2" s="85" t="s">
        <v>98</v>
      </c>
    </row>
    <row r="3" spans="2:15" ht="13.25" customHeight="1" x14ac:dyDescent="0.3">
      <c r="B3" s="26" t="s">
        <v>615</v>
      </c>
      <c r="C3" s="27">
        <v>0.15210000000000001</v>
      </c>
      <c r="D3" s="28">
        <v>0.98</v>
      </c>
      <c r="E3" s="28">
        <v>43.82</v>
      </c>
      <c r="F3" s="29">
        <f>E3/1.724</f>
        <v>25.417633410672856</v>
      </c>
      <c r="G3" s="30">
        <v>30</v>
      </c>
      <c r="H3" s="31">
        <f>ROUND(F3*D3*G3*(1-C3)*0.1,2)</f>
        <v>63.36</v>
      </c>
      <c r="I3" s="118" t="s">
        <v>99</v>
      </c>
      <c r="K3" s="25"/>
    </row>
    <row r="4" spans="2:15" x14ac:dyDescent="0.3">
      <c r="B4" s="26" t="s">
        <v>616</v>
      </c>
      <c r="C4" s="27">
        <v>0.13919999999999999</v>
      </c>
      <c r="D4" s="28">
        <v>1.1499999999999999</v>
      </c>
      <c r="E4" s="28">
        <v>48.81</v>
      </c>
      <c r="F4" s="29">
        <f t="shared" ref="F4:F8" si="0">E4/1.724</f>
        <v>28.312064965197216</v>
      </c>
      <c r="G4" s="30">
        <v>30</v>
      </c>
      <c r="H4" s="31">
        <f t="shared" ref="H4:H8" si="1">ROUND(F4*D4*G4*(1-C4)*0.1,2)</f>
        <v>84.08</v>
      </c>
      <c r="I4" s="119"/>
      <c r="K4" s="25"/>
    </row>
    <row r="5" spans="2:15" x14ac:dyDescent="0.3">
      <c r="B5" s="26" t="s">
        <v>617</v>
      </c>
      <c r="C5" s="27">
        <v>0.15890000000000001</v>
      </c>
      <c r="D5" s="28">
        <v>0.98</v>
      </c>
      <c r="E5" s="28">
        <v>36.56</v>
      </c>
      <c r="F5" s="29">
        <f t="shared" si="0"/>
        <v>21.206496519721579</v>
      </c>
      <c r="G5" s="30">
        <v>30</v>
      </c>
      <c r="H5" s="31">
        <f t="shared" si="1"/>
        <v>52.44</v>
      </c>
      <c r="I5" s="119"/>
      <c r="K5" s="25"/>
    </row>
    <row r="6" spans="2:15" x14ac:dyDescent="0.3">
      <c r="B6" s="26" t="s">
        <v>618</v>
      </c>
      <c r="C6" s="27">
        <v>0.1658</v>
      </c>
      <c r="D6" s="28">
        <v>1.03</v>
      </c>
      <c r="E6" s="28">
        <v>44.91</v>
      </c>
      <c r="F6" s="29">
        <f t="shared" si="0"/>
        <v>26.049883990719255</v>
      </c>
      <c r="G6" s="30">
        <v>30</v>
      </c>
      <c r="H6" s="31">
        <f t="shared" si="1"/>
        <v>67.150000000000006</v>
      </c>
      <c r="I6" s="119"/>
      <c r="K6" s="25"/>
    </row>
    <row r="7" spans="2:15" x14ac:dyDescent="0.3">
      <c r="B7" s="26" t="s">
        <v>619</v>
      </c>
      <c r="C7" s="27">
        <v>0.13489999999999999</v>
      </c>
      <c r="D7" s="28">
        <v>0.87</v>
      </c>
      <c r="E7" s="28">
        <v>59.54</v>
      </c>
      <c r="F7" s="29">
        <f t="shared" si="0"/>
        <v>34.535962877030165</v>
      </c>
      <c r="G7" s="30">
        <v>30</v>
      </c>
      <c r="H7" s="31">
        <f t="shared" si="1"/>
        <v>77.98</v>
      </c>
      <c r="I7" s="119"/>
      <c r="K7" s="25"/>
    </row>
    <row r="8" spans="2:15" x14ac:dyDescent="0.3">
      <c r="B8" s="26" t="s">
        <v>620</v>
      </c>
      <c r="C8" s="27">
        <v>0.11310000000000001</v>
      </c>
      <c r="D8" s="28">
        <v>1.08</v>
      </c>
      <c r="E8" s="28">
        <v>57.46</v>
      </c>
      <c r="F8" s="29">
        <f t="shared" si="0"/>
        <v>33.329466357308583</v>
      </c>
      <c r="G8" s="30">
        <v>30</v>
      </c>
      <c r="H8" s="31">
        <f t="shared" si="1"/>
        <v>95.77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621</v>
      </c>
      <c r="D10" s="91" t="s">
        <v>622</v>
      </c>
      <c r="E10" s="91" t="s">
        <v>34</v>
      </c>
      <c r="F10" s="91" t="s">
        <v>623</v>
      </c>
      <c r="G10" s="91" t="s">
        <v>96</v>
      </c>
      <c r="H10" s="91" t="s">
        <v>624</v>
      </c>
      <c r="I10" s="85" t="s">
        <v>98</v>
      </c>
    </row>
    <row r="11" spans="2:15" ht="14.4" customHeight="1" x14ac:dyDescent="0.3">
      <c r="B11" s="26" t="s">
        <v>625</v>
      </c>
      <c r="C11" s="27">
        <v>0.16039999999999999</v>
      </c>
      <c r="D11" s="28">
        <v>0.99</v>
      </c>
      <c r="E11" s="28">
        <v>44.57</v>
      </c>
      <c r="F11" s="29">
        <f t="shared" ref="F11:F16" si="2">E11/1.724</f>
        <v>25.852668213457076</v>
      </c>
      <c r="G11" s="30">
        <v>30</v>
      </c>
      <c r="H11" s="31">
        <f>ROUND(F11*D11*G11*(1-C11)*0.1,2)</f>
        <v>64.47</v>
      </c>
      <c r="I11" s="118" t="s">
        <v>99</v>
      </c>
    </row>
    <row r="12" spans="2:15" x14ac:dyDescent="0.3">
      <c r="B12" s="26" t="s">
        <v>626</v>
      </c>
      <c r="C12" s="27">
        <v>0.1573</v>
      </c>
      <c r="D12" s="28">
        <v>1.17</v>
      </c>
      <c r="E12" s="28">
        <v>50.16</v>
      </c>
      <c r="F12" s="29">
        <f t="shared" si="2"/>
        <v>29.095127610208817</v>
      </c>
      <c r="G12" s="30">
        <v>30</v>
      </c>
      <c r="H12" s="31">
        <f t="shared" ref="H12:H16" si="3">ROUND(F12*D12*G12*(1-C12)*0.1,2)</f>
        <v>86.06</v>
      </c>
      <c r="I12" s="119"/>
    </row>
    <row r="13" spans="2:15" x14ac:dyDescent="0.3">
      <c r="B13" s="26" t="s">
        <v>627</v>
      </c>
      <c r="C13" s="27">
        <v>0.15390000000000001</v>
      </c>
      <c r="D13" s="26">
        <v>1.01</v>
      </c>
      <c r="E13" s="26">
        <v>38.42</v>
      </c>
      <c r="F13" s="29">
        <f t="shared" si="2"/>
        <v>22.28538283062645</v>
      </c>
      <c r="G13" s="30">
        <v>30</v>
      </c>
      <c r="H13" s="31">
        <f t="shared" si="3"/>
        <v>57.13</v>
      </c>
      <c r="I13" s="119"/>
    </row>
    <row r="14" spans="2:15" x14ac:dyDescent="0.3">
      <c r="B14" s="26" t="s">
        <v>628</v>
      </c>
      <c r="C14" s="27">
        <v>0.15279999999999999</v>
      </c>
      <c r="D14" s="26">
        <v>1.02</v>
      </c>
      <c r="E14" s="26">
        <v>48.94</v>
      </c>
      <c r="F14" s="29">
        <f t="shared" si="2"/>
        <v>28.387470997679813</v>
      </c>
      <c r="G14" s="30">
        <v>30</v>
      </c>
      <c r="H14" s="31">
        <f t="shared" si="3"/>
        <v>73.59</v>
      </c>
      <c r="I14" s="119"/>
    </row>
    <row r="15" spans="2:15" x14ac:dyDescent="0.3">
      <c r="B15" s="26" t="s">
        <v>629</v>
      </c>
      <c r="C15" s="27">
        <v>0.15670000000000001</v>
      </c>
      <c r="D15" s="28">
        <v>0.97</v>
      </c>
      <c r="E15" s="28">
        <v>60.81</v>
      </c>
      <c r="F15" s="29">
        <f t="shared" si="2"/>
        <v>35.272621809744784</v>
      </c>
      <c r="G15" s="30">
        <v>30</v>
      </c>
      <c r="H15" s="31">
        <f t="shared" si="3"/>
        <v>86.56</v>
      </c>
      <c r="I15" s="119"/>
    </row>
    <row r="16" spans="2:15" x14ac:dyDescent="0.3">
      <c r="B16" s="26" t="s">
        <v>630</v>
      </c>
      <c r="C16" s="27">
        <v>0.15029999999999999</v>
      </c>
      <c r="D16" s="26">
        <v>1.19</v>
      </c>
      <c r="E16" s="26">
        <v>58.38</v>
      </c>
      <c r="F16" s="29">
        <f t="shared" si="2"/>
        <v>33.863109048723899</v>
      </c>
      <c r="G16" s="30">
        <v>30</v>
      </c>
      <c r="H16" s="31">
        <f t="shared" si="3"/>
        <v>102.72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631</v>
      </c>
      <c r="C19" s="26" t="s">
        <v>145</v>
      </c>
      <c r="D19" s="89">
        <v>99.758905560000002</v>
      </c>
      <c r="E19" s="89">
        <v>38.852961110000003</v>
      </c>
      <c r="F19" s="90" t="s">
        <v>257</v>
      </c>
      <c r="G19" s="70">
        <f t="shared" ref="G19:G24" si="4">H11-H3</f>
        <v>1.1099999999999994</v>
      </c>
    </row>
    <row r="20" spans="2:7" x14ac:dyDescent="0.3">
      <c r="B20" s="26" t="s">
        <v>632</v>
      </c>
      <c r="C20" s="26" t="s">
        <v>146</v>
      </c>
      <c r="D20" s="89">
        <v>101.9036444</v>
      </c>
      <c r="E20" s="89">
        <v>37.85901389</v>
      </c>
      <c r="F20" s="90" t="s">
        <v>257</v>
      </c>
      <c r="G20" s="70">
        <f t="shared" si="4"/>
        <v>1.980000000000004</v>
      </c>
    </row>
    <row r="21" spans="2:7" x14ac:dyDescent="0.3">
      <c r="B21" s="26" t="s">
        <v>633</v>
      </c>
      <c r="C21" s="26" t="s">
        <v>147</v>
      </c>
      <c r="D21" s="89">
        <v>101.8664361</v>
      </c>
      <c r="E21" s="89">
        <v>37.806936110000002</v>
      </c>
      <c r="F21" s="90" t="s">
        <v>257</v>
      </c>
      <c r="G21" s="70">
        <f t="shared" si="4"/>
        <v>4.6900000000000048</v>
      </c>
    </row>
    <row r="22" spans="2:7" x14ac:dyDescent="0.3">
      <c r="B22" s="26" t="s">
        <v>634</v>
      </c>
      <c r="C22" s="26" t="s">
        <v>148</v>
      </c>
      <c r="D22" s="89">
        <v>101.83467779999999</v>
      </c>
      <c r="E22" s="89">
        <v>37.815344439999997</v>
      </c>
      <c r="F22" s="90" t="s">
        <v>257</v>
      </c>
      <c r="G22" s="70">
        <f t="shared" si="4"/>
        <v>6.4399999999999977</v>
      </c>
    </row>
    <row r="23" spans="2:7" x14ac:dyDescent="0.3">
      <c r="B23" s="26" t="s">
        <v>635</v>
      </c>
      <c r="C23" s="26" t="s">
        <v>149</v>
      </c>
      <c r="D23" s="89">
        <v>101.8058389</v>
      </c>
      <c r="E23" s="89">
        <v>37.87443056</v>
      </c>
      <c r="F23" s="90" t="s">
        <v>257</v>
      </c>
      <c r="G23" s="70">
        <f t="shared" si="4"/>
        <v>8.5799999999999983</v>
      </c>
    </row>
    <row r="24" spans="2:7" x14ac:dyDescent="0.3">
      <c r="B24" s="26" t="s">
        <v>636</v>
      </c>
      <c r="C24" s="26" t="s">
        <v>150</v>
      </c>
      <c r="D24" s="89">
        <v>99.943033330000006</v>
      </c>
      <c r="E24" s="89">
        <v>38.813547219999997</v>
      </c>
      <c r="F24" s="90" t="s">
        <v>257</v>
      </c>
      <c r="G24" s="70">
        <f t="shared" si="4"/>
        <v>6.9500000000000028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4.96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2.6780180274889016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1.0932962815537506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3269-A2E6-49CD-81F8-F597FAFD33FC}">
  <dimension ref="B2:O27"/>
  <sheetViews>
    <sheetView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7.332031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637</v>
      </c>
      <c r="D2" s="91" t="s">
        <v>638</v>
      </c>
      <c r="E2" s="91" t="s">
        <v>34</v>
      </c>
      <c r="F2" s="91" t="s">
        <v>639</v>
      </c>
      <c r="G2" s="91" t="s">
        <v>96</v>
      </c>
      <c r="H2" s="91" t="s">
        <v>640</v>
      </c>
      <c r="I2" s="85" t="s">
        <v>98</v>
      </c>
    </row>
    <row r="3" spans="2:15" ht="13.25" customHeight="1" x14ac:dyDescent="0.3">
      <c r="B3" s="26" t="s">
        <v>641</v>
      </c>
      <c r="C3" s="27">
        <v>0.1079</v>
      </c>
      <c r="D3" s="28">
        <v>1.01</v>
      </c>
      <c r="E3" s="28">
        <v>63.85</v>
      </c>
      <c r="F3" s="29">
        <f>E3/1.724</f>
        <v>37.035962877030165</v>
      </c>
      <c r="G3" s="30">
        <v>30</v>
      </c>
      <c r="H3" s="31">
        <f>ROUND(F3*D3*G3*(1-C3)*0.1,2)</f>
        <v>100.11</v>
      </c>
      <c r="I3" s="118" t="s">
        <v>99</v>
      </c>
      <c r="K3" s="25"/>
    </row>
    <row r="4" spans="2:15" x14ac:dyDescent="0.3">
      <c r="B4" s="26" t="s">
        <v>642</v>
      </c>
      <c r="C4" s="27">
        <v>0.14860000000000001</v>
      </c>
      <c r="D4" s="28">
        <v>1.02</v>
      </c>
      <c r="E4" s="28">
        <v>57.91</v>
      </c>
      <c r="F4" s="29">
        <f t="shared" ref="F4:F8" si="0">E4/1.724</f>
        <v>33.590487238979115</v>
      </c>
      <c r="G4" s="30">
        <v>30</v>
      </c>
      <c r="H4" s="31">
        <f t="shared" ref="H4:H8" si="1">ROUND(F4*D4*G4*(1-C4)*0.1,2)</f>
        <v>87.51</v>
      </c>
      <c r="I4" s="119"/>
      <c r="K4" s="25"/>
    </row>
    <row r="5" spans="2:15" x14ac:dyDescent="0.3">
      <c r="B5" s="26" t="s">
        <v>643</v>
      </c>
      <c r="C5" s="27">
        <v>0.1023</v>
      </c>
      <c r="D5" s="28">
        <v>0.87</v>
      </c>
      <c r="E5" s="28">
        <v>31.23</v>
      </c>
      <c r="F5" s="29">
        <f t="shared" si="0"/>
        <v>18.114849187935036</v>
      </c>
      <c r="G5" s="30">
        <v>30</v>
      </c>
      <c r="H5" s="31">
        <f t="shared" si="1"/>
        <v>42.44</v>
      </c>
      <c r="I5" s="119"/>
      <c r="K5" s="25"/>
    </row>
    <row r="6" spans="2:15" x14ac:dyDescent="0.3">
      <c r="B6" s="26" t="s">
        <v>644</v>
      </c>
      <c r="C6" s="27">
        <v>0.13100000000000001</v>
      </c>
      <c r="D6" s="28">
        <v>0.95</v>
      </c>
      <c r="E6" s="28">
        <v>51.05</v>
      </c>
      <c r="F6" s="29">
        <f t="shared" si="0"/>
        <v>29.611368909512759</v>
      </c>
      <c r="G6" s="30">
        <v>30</v>
      </c>
      <c r="H6" s="31">
        <f t="shared" si="1"/>
        <v>73.34</v>
      </c>
      <c r="I6" s="119"/>
      <c r="K6" s="25"/>
    </row>
    <row r="7" spans="2:15" x14ac:dyDescent="0.3">
      <c r="B7" s="26" t="s">
        <v>645</v>
      </c>
      <c r="C7" s="27">
        <v>0.16669999999999999</v>
      </c>
      <c r="D7" s="28">
        <v>1.08</v>
      </c>
      <c r="E7" s="28">
        <v>55.97</v>
      </c>
      <c r="F7" s="29">
        <f t="shared" si="0"/>
        <v>32.465197215777259</v>
      </c>
      <c r="G7" s="30">
        <v>30</v>
      </c>
      <c r="H7" s="31">
        <f t="shared" si="1"/>
        <v>87.65</v>
      </c>
      <c r="I7" s="119"/>
      <c r="K7" s="25"/>
    </row>
    <row r="8" spans="2:15" x14ac:dyDescent="0.3">
      <c r="B8" s="26" t="s">
        <v>646</v>
      </c>
      <c r="C8" s="27">
        <v>8.6300000000000002E-2</v>
      </c>
      <c r="D8" s="28">
        <v>0.88</v>
      </c>
      <c r="E8" s="28">
        <v>47.53</v>
      </c>
      <c r="F8" s="29">
        <f t="shared" si="0"/>
        <v>27.569605568445478</v>
      </c>
      <c r="G8" s="30">
        <v>30</v>
      </c>
      <c r="H8" s="31">
        <f t="shared" si="1"/>
        <v>66.5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647</v>
      </c>
      <c r="D10" s="91" t="s">
        <v>648</v>
      </c>
      <c r="E10" s="91" t="s">
        <v>34</v>
      </c>
      <c r="F10" s="91" t="s">
        <v>649</v>
      </c>
      <c r="G10" s="91" t="s">
        <v>96</v>
      </c>
      <c r="H10" s="91" t="s">
        <v>650</v>
      </c>
      <c r="I10" s="85" t="s">
        <v>98</v>
      </c>
    </row>
    <row r="11" spans="2:15" ht="14.4" customHeight="1" x14ac:dyDescent="0.3">
      <c r="B11" s="26" t="s">
        <v>651</v>
      </c>
      <c r="C11" s="27">
        <v>0.14549999999999999</v>
      </c>
      <c r="D11" s="28">
        <v>1.08</v>
      </c>
      <c r="E11" s="28">
        <v>67.84</v>
      </c>
      <c r="F11" s="29">
        <f t="shared" ref="F11:F16" si="2">E11/1.724</f>
        <v>39.35034802784223</v>
      </c>
      <c r="G11" s="30">
        <v>30</v>
      </c>
      <c r="H11" s="31">
        <f>ROUND(F11*D11*G11*(1-C11)*0.1,2)</f>
        <v>108.94</v>
      </c>
      <c r="I11" s="118" t="s">
        <v>99</v>
      </c>
    </row>
    <row r="12" spans="2:15" x14ac:dyDescent="0.3">
      <c r="B12" s="26" t="s">
        <v>652</v>
      </c>
      <c r="C12" s="27">
        <v>9.3700000000000006E-2</v>
      </c>
      <c r="D12" s="28">
        <v>1.05</v>
      </c>
      <c r="E12" s="28">
        <v>58.77</v>
      </c>
      <c r="F12" s="29">
        <f t="shared" si="2"/>
        <v>34.089327146171698</v>
      </c>
      <c r="G12" s="30">
        <v>30</v>
      </c>
      <c r="H12" s="31">
        <f t="shared" ref="H12:H16" si="3">ROUND(F12*D12*G12*(1-C12)*0.1,2)</f>
        <v>97.32</v>
      </c>
      <c r="I12" s="119"/>
    </row>
    <row r="13" spans="2:15" x14ac:dyDescent="0.3">
      <c r="B13" s="26" t="s">
        <v>653</v>
      </c>
      <c r="C13" s="27">
        <v>8.6699999999999999E-2</v>
      </c>
      <c r="D13" s="26">
        <v>0.92</v>
      </c>
      <c r="E13" s="26">
        <v>34.090000000000003</v>
      </c>
      <c r="F13" s="29">
        <f t="shared" si="2"/>
        <v>19.773781902552205</v>
      </c>
      <c r="G13" s="30">
        <v>30</v>
      </c>
      <c r="H13" s="31">
        <f t="shared" si="3"/>
        <v>49.84</v>
      </c>
      <c r="I13" s="119"/>
    </row>
    <row r="14" spans="2:15" x14ac:dyDescent="0.3">
      <c r="B14" s="26" t="s">
        <v>654</v>
      </c>
      <c r="C14" s="27">
        <v>0.1096</v>
      </c>
      <c r="D14" s="26">
        <v>1.08</v>
      </c>
      <c r="E14" s="26">
        <v>51.88</v>
      </c>
      <c r="F14" s="29">
        <f t="shared" si="2"/>
        <v>30.092807424593971</v>
      </c>
      <c r="G14" s="30">
        <v>30</v>
      </c>
      <c r="H14" s="31">
        <f t="shared" si="3"/>
        <v>86.81</v>
      </c>
      <c r="I14" s="119"/>
    </row>
    <row r="15" spans="2:15" x14ac:dyDescent="0.3">
      <c r="B15" s="26" t="s">
        <v>655</v>
      </c>
      <c r="C15" s="27">
        <v>0.10390000000000001</v>
      </c>
      <c r="D15" s="28">
        <v>1.02</v>
      </c>
      <c r="E15" s="28">
        <v>56.94</v>
      </c>
      <c r="F15" s="29">
        <f t="shared" si="2"/>
        <v>33.027842227378187</v>
      </c>
      <c r="G15" s="30">
        <v>30</v>
      </c>
      <c r="H15" s="31">
        <f t="shared" si="3"/>
        <v>90.56</v>
      </c>
      <c r="I15" s="119"/>
    </row>
    <row r="16" spans="2:15" x14ac:dyDescent="0.3">
      <c r="B16" s="26" t="s">
        <v>656</v>
      </c>
      <c r="C16" s="27">
        <v>0.13339999999999999</v>
      </c>
      <c r="D16" s="26">
        <v>0.93</v>
      </c>
      <c r="E16" s="26">
        <v>48.4</v>
      </c>
      <c r="F16" s="29">
        <f t="shared" si="2"/>
        <v>28.074245939675173</v>
      </c>
      <c r="G16" s="30">
        <v>30</v>
      </c>
      <c r="H16" s="31">
        <f t="shared" si="3"/>
        <v>67.88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657</v>
      </c>
      <c r="C19" s="26" t="s">
        <v>145</v>
      </c>
      <c r="D19" s="89">
        <v>101.39660000000001</v>
      </c>
      <c r="E19" s="89">
        <v>38.147350000000003</v>
      </c>
      <c r="F19" s="90" t="s">
        <v>368</v>
      </c>
      <c r="G19" s="70">
        <f t="shared" ref="G19:G24" si="4">H11-H3</f>
        <v>8.8299999999999983</v>
      </c>
    </row>
    <row r="20" spans="2:7" x14ac:dyDescent="0.3">
      <c r="B20" s="26" t="s">
        <v>658</v>
      </c>
      <c r="C20" s="26" t="s">
        <v>146</v>
      </c>
      <c r="D20" s="89">
        <v>99.427127499999997</v>
      </c>
      <c r="E20" s="89">
        <v>38.768116110000001</v>
      </c>
      <c r="F20" s="90" t="s">
        <v>368</v>
      </c>
      <c r="G20" s="70">
        <f t="shared" si="4"/>
        <v>9.8099999999999881</v>
      </c>
    </row>
    <row r="21" spans="2:7" x14ac:dyDescent="0.3">
      <c r="B21" s="26" t="s">
        <v>659</v>
      </c>
      <c r="C21" s="26" t="s">
        <v>147</v>
      </c>
      <c r="D21" s="89">
        <v>99.523350280000002</v>
      </c>
      <c r="E21" s="89">
        <v>38.638589170000003</v>
      </c>
      <c r="F21" s="90" t="s">
        <v>368</v>
      </c>
      <c r="G21" s="70">
        <f t="shared" si="4"/>
        <v>7.4000000000000057</v>
      </c>
    </row>
    <row r="22" spans="2:7" x14ac:dyDescent="0.3">
      <c r="B22" s="26" t="s">
        <v>660</v>
      </c>
      <c r="C22" s="26" t="s">
        <v>148</v>
      </c>
      <c r="D22" s="89">
        <v>101.54777780000001</v>
      </c>
      <c r="E22" s="89">
        <v>37.993916669999997</v>
      </c>
      <c r="F22" s="90" t="s">
        <v>368</v>
      </c>
      <c r="G22" s="70">
        <f t="shared" si="4"/>
        <v>13.469999999999999</v>
      </c>
    </row>
    <row r="23" spans="2:7" x14ac:dyDescent="0.3">
      <c r="B23" s="26" t="s">
        <v>661</v>
      </c>
      <c r="C23" s="26" t="s">
        <v>149</v>
      </c>
      <c r="D23" s="89">
        <v>99.887094439999998</v>
      </c>
      <c r="E23" s="89">
        <v>38.86316944</v>
      </c>
      <c r="F23" s="90" t="s">
        <v>368</v>
      </c>
      <c r="G23" s="70">
        <f t="shared" si="4"/>
        <v>2.9099999999999966</v>
      </c>
    </row>
    <row r="24" spans="2:7" x14ac:dyDescent="0.3">
      <c r="B24" s="26" t="s">
        <v>662</v>
      </c>
      <c r="C24" s="26" t="s">
        <v>150</v>
      </c>
      <c r="D24" s="89">
        <v>99.904647220000001</v>
      </c>
      <c r="E24" s="89">
        <v>38.817241670000001</v>
      </c>
      <c r="F24" s="90" t="s">
        <v>368</v>
      </c>
      <c r="G24" s="70">
        <f t="shared" si="4"/>
        <v>1.3799999999999955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7.3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4.1036244142627565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1.6752976518285416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9CB6-4C73-4255-A3B8-202ACAE9BFC9}">
  <dimension ref="A2:T84"/>
  <sheetViews>
    <sheetView showGridLines="0" zoomScale="90" zoomScaleNormal="90" workbookViewId="0">
      <selection activeCell="K26" sqref="K26"/>
    </sheetView>
  </sheetViews>
  <sheetFormatPr defaultColWidth="8.9140625" defaultRowHeight="12.5" x14ac:dyDescent="0.3"/>
  <cols>
    <col min="1" max="1" width="2.9140625" style="2" customWidth="1"/>
    <col min="2" max="2" width="10.08203125" style="2" customWidth="1"/>
    <col min="3" max="7" width="7.9140625" style="2" customWidth="1"/>
    <col min="8" max="9" width="8.9140625" style="7" customWidth="1"/>
    <col min="10" max="10" width="19.9140625" style="7" customWidth="1"/>
    <col min="11" max="11" width="35.25" style="7" customWidth="1"/>
    <col min="12" max="12" width="2.9140625" style="7" customWidth="1"/>
    <col min="13" max="14" width="16.6640625" style="7" customWidth="1"/>
    <col min="15" max="15" width="10.6640625" style="7" customWidth="1"/>
    <col min="16" max="16" width="11" style="7" customWidth="1"/>
    <col min="17" max="17" width="10.08203125" style="7" customWidth="1"/>
    <col min="18" max="18" width="9.4140625" style="7" customWidth="1"/>
    <col min="19" max="19" width="12.6640625" style="7" customWidth="1"/>
    <col min="20" max="16384" width="8.9140625" style="7"/>
  </cols>
  <sheetData>
    <row r="2" spans="2:19" ht="15" x14ac:dyDescent="0.3">
      <c r="B2" s="97" t="s">
        <v>0</v>
      </c>
      <c r="C2" s="98"/>
      <c r="D2" s="97" t="s">
        <v>1</v>
      </c>
      <c r="E2" s="107"/>
      <c r="F2" s="107"/>
      <c r="G2" s="107"/>
      <c r="H2" s="98"/>
      <c r="I2" s="77"/>
      <c r="J2" s="47" t="s">
        <v>2</v>
      </c>
      <c r="K2" s="47" t="s">
        <v>3</v>
      </c>
      <c r="M2" s="60" t="s">
        <v>17</v>
      </c>
      <c r="N2" s="60"/>
      <c r="O2" s="48" t="s">
        <v>68</v>
      </c>
      <c r="P2" s="48" t="s">
        <v>72</v>
      </c>
      <c r="Q2" s="48" t="s">
        <v>126</v>
      </c>
      <c r="R2" s="48" t="s">
        <v>76</v>
      </c>
      <c r="S2" s="48" t="s">
        <v>108</v>
      </c>
    </row>
    <row r="3" spans="2:19" ht="26" x14ac:dyDescent="0.3">
      <c r="B3" s="78"/>
      <c r="C3" s="77"/>
      <c r="D3" s="77">
        <v>2017</v>
      </c>
      <c r="E3" s="77">
        <v>2018</v>
      </c>
      <c r="F3" s="77">
        <v>2019</v>
      </c>
      <c r="G3" s="77">
        <v>2020</v>
      </c>
      <c r="H3" s="47">
        <v>2021</v>
      </c>
      <c r="I3" s="79" t="s">
        <v>92</v>
      </c>
      <c r="J3" s="47"/>
      <c r="K3" s="47"/>
      <c r="M3" s="57" t="s">
        <v>123</v>
      </c>
      <c r="N3" s="47" t="s">
        <v>124</v>
      </c>
      <c r="O3" s="49" t="s">
        <v>64</v>
      </c>
      <c r="P3" s="49" t="s">
        <v>64</v>
      </c>
      <c r="Q3" s="49" t="s">
        <v>64</v>
      </c>
      <c r="R3" s="49" t="s">
        <v>64</v>
      </c>
      <c r="S3" s="49" t="s">
        <v>64</v>
      </c>
    </row>
    <row r="4" spans="2:19" ht="15.5" x14ac:dyDescent="0.3">
      <c r="B4" s="105" t="s">
        <v>19</v>
      </c>
      <c r="C4" s="106"/>
      <c r="D4" s="11">
        <f>'Baseline Emission'!D3</f>
        <v>28</v>
      </c>
      <c r="E4" s="11">
        <f>D4</f>
        <v>28</v>
      </c>
      <c r="F4" s="11">
        <f t="shared" ref="F4:I4" si="0">E4</f>
        <v>28</v>
      </c>
      <c r="G4" s="11">
        <f t="shared" si="0"/>
        <v>28</v>
      </c>
      <c r="H4" s="11">
        <f t="shared" si="0"/>
        <v>28</v>
      </c>
      <c r="I4" s="11">
        <f t="shared" si="0"/>
        <v>28</v>
      </c>
      <c r="J4" s="21" t="s">
        <v>20</v>
      </c>
      <c r="K4" s="1" t="s">
        <v>684</v>
      </c>
      <c r="M4" s="58">
        <v>42941</v>
      </c>
      <c r="N4" s="58">
        <v>43100</v>
      </c>
      <c r="O4" s="10">
        <f>ROUND(D35,0)</f>
        <v>51116</v>
      </c>
      <c r="P4" s="10">
        <f>ROUND(D47,0)</f>
        <v>549</v>
      </c>
      <c r="Q4" s="10">
        <f>ROUND(D71,0)</f>
        <v>626</v>
      </c>
      <c r="R4" s="10">
        <f>ROUND($D$79,0)</f>
        <v>1368</v>
      </c>
      <c r="S4" s="13">
        <f>SUM(O4:R4)</f>
        <v>53659</v>
      </c>
    </row>
    <row r="5" spans="2:19" ht="15" x14ac:dyDescent="0.3">
      <c r="B5" s="105" t="s">
        <v>27</v>
      </c>
      <c r="C5" s="106"/>
      <c r="D5" s="3">
        <f>'Baseline Emission'!D4</f>
        <v>265</v>
      </c>
      <c r="E5" s="3">
        <f>D5</f>
        <v>265</v>
      </c>
      <c r="F5" s="3">
        <f t="shared" ref="F5:I5" si="1">E5</f>
        <v>265</v>
      </c>
      <c r="G5" s="3">
        <f t="shared" si="1"/>
        <v>265</v>
      </c>
      <c r="H5" s="3">
        <f t="shared" si="1"/>
        <v>265</v>
      </c>
      <c r="I5" s="3">
        <f t="shared" si="1"/>
        <v>265</v>
      </c>
      <c r="J5" s="22" t="s">
        <v>6</v>
      </c>
      <c r="K5" s="1" t="s">
        <v>684</v>
      </c>
      <c r="M5" s="58">
        <v>43101</v>
      </c>
      <c r="N5" s="58">
        <v>43465</v>
      </c>
      <c r="O5" s="10">
        <f>ROUND(E35,0)</f>
        <v>69861</v>
      </c>
      <c r="P5" s="10">
        <f>ROUND(E47,0)</f>
        <v>750</v>
      </c>
      <c r="Q5" s="10">
        <f>ROUND(E71,0)</f>
        <v>855</v>
      </c>
      <c r="R5" s="10">
        <f>ROUND($E$79,0)</f>
        <v>1768</v>
      </c>
      <c r="S5" s="13">
        <f t="shared" ref="S5:S8" si="2">SUM(O5:R5)</f>
        <v>73234</v>
      </c>
    </row>
    <row r="6" spans="2:19" ht="15.5" x14ac:dyDescent="0.3">
      <c r="B6" s="105" t="s">
        <v>22</v>
      </c>
      <c r="C6" s="106"/>
      <c r="D6" s="3">
        <f>'Baseline Emission'!D5</f>
        <v>2E-3</v>
      </c>
      <c r="E6" s="3">
        <f t="shared" ref="E6:I7" si="3">D6</f>
        <v>2E-3</v>
      </c>
      <c r="F6" s="3">
        <f t="shared" si="3"/>
        <v>2E-3</v>
      </c>
      <c r="G6" s="3">
        <f t="shared" si="3"/>
        <v>2E-3</v>
      </c>
      <c r="H6" s="3">
        <f t="shared" si="3"/>
        <v>2E-3</v>
      </c>
      <c r="I6" s="3">
        <f t="shared" si="3"/>
        <v>2E-3</v>
      </c>
      <c r="J6" s="21" t="s">
        <v>23</v>
      </c>
      <c r="K6" s="1" t="s">
        <v>680</v>
      </c>
      <c r="M6" s="58">
        <v>43466</v>
      </c>
      <c r="N6" s="58">
        <v>43830</v>
      </c>
      <c r="O6" s="10">
        <f>ROUND(F35,0)</f>
        <v>37491</v>
      </c>
      <c r="P6" s="10">
        <f>ROUND(F47,0)</f>
        <v>402</v>
      </c>
      <c r="Q6" s="10">
        <f>ROUND(F71,0)</f>
        <v>459</v>
      </c>
      <c r="R6" s="10">
        <f>ROUND($F$79,0)</f>
        <v>1205</v>
      </c>
      <c r="S6" s="13">
        <f t="shared" si="2"/>
        <v>39557</v>
      </c>
    </row>
    <row r="7" spans="2:19" ht="15.5" x14ac:dyDescent="0.3">
      <c r="B7" s="105" t="s">
        <v>24</v>
      </c>
      <c r="C7" s="106"/>
      <c r="D7" s="3">
        <f>'Baseline Emission'!D6</f>
        <v>3.0000000000000001E-3</v>
      </c>
      <c r="E7" s="3">
        <f t="shared" si="3"/>
        <v>3.0000000000000001E-3</v>
      </c>
      <c r="F7" s="3">
        <f t="shared" si="3"/>
        <v>3.0000000000000001E-3</v>
      </c>
      <c r="G7" s="3">
        <f t="shared" si="3"/>
        <v>3.0000000000000001E-3</v>
      </c>
      <c r="H7" s="3">
        <f t="shared" si="3"/>
        <v>3.0000000000000001E-3</v>
      </c>
      <c r="I7" s="3">
        <f t="shared" si="3"/>
        <v>3.0000000000000001E-3</v>
      </c>
      <c r="J7" s="21" t="s">
        <v>23</v>
      </c>
      <c r="K7" s="1" t="s">
        <v>680</v>
      </c>
      <c r="M7" s="58">
        <v>43831</v>
      </c>
      <c r="N7" s="58">
        <v>44196</v>
      </c>
      <c r="O7" s="10">
        <f>ROUND(G35,0)</f>
        <v>37491</v>
      </c>
      <c r="P7" s="10">
        <f>ROUND(G47,0)</f>
        <v>402</v>
      </c>
      <c r="Q7" s="10">
        <f>ROUND(G71,0)</f>
        <v>459</v>
      </c>
      <c r="R7" s="10">
        <f>ROUND($G$79,0)</f>
        <v>0</v>
      </c>
      <c r="S7" s="13">
        <f t="shared" si="2"/>
        <v>38352</v>
      </c>
    </row>
    <row r="8" spans="2:19" ht="15.5" x14ac:dyDescent="0.3">
      <c r="B8" s="101" t="s">
        <v>46</v>
      </c>
      <c r="C8" s="9" t="s">
        <v>43</v>
      </c>
      <c r="D8" s="3">
        <f>'Baseline Emission'!D7</f>
        <v>56</v>
      </c>
      <c r="E8" s="3">
        <f t="shared" ref="E8:I8" si="4">D8</f>
        <v>56</v>
      </c>
      <c r="F8" s="3">
        <f t="shared" si="4"/>
        <v>56</v>
      </c>
      <c r="G8" s="3">
        <f t="shared" si="4"/>
        <v>56</v>
      </c>
      <c r="H8" s="3">
        <f t="shared" si="4"/>
        <v>56</v>
      </c>
      <c r="I8" s="3">
        <f t="shared" si="4"/>
        <v>56</v>
      </c>
      <c r="J8" s="21" t="s">
        <v>21</v>
      </c>
      <c r="K8" s="1" t="s">
        <v>680</v>
      </c>
      <c r="M8" s="58">
        <v>44197</v>
      </c>
      <c r="N8" s="58">
        <v>44561</v>
      </c>
      <c r="O8" s="10">
        <f>ROUND(H35,0)</f>
        <v>37491</v>
      </c>
      <c r="P8" s="10">
        <f>ROUND(H47,0)</f>
        <v>402</v>
      </c>
      <c r="Q8" s="10">
        <f>ROUND(H71,0)</f>
        <v>459</v>
      </c>
      <c r="R8" s="10">
        <f>ROUND($H$79,0)</f>
        <v>0</v>
      </c>
      <c r="S8" s="13">
        <f t="shared" si="2"/>
        <v>38352</v>
      </c>
    </row>
    <row r="9" spans="2:19" ht="15.5" x14ac:dyDescent="0.3">
      <c r="B9" s="102"/>
      <c r="C9" s="9" t="s">
        <v>44</v>
      </c>
      <c r="D9" s="3">
        <f>'Baseline Emission'!D8</f>
        <v>5</v>
      </c>
      <c r="E9" s="3">
        <f t="shared" ref="E9:I9" si="5">D9</f>
        <v>5</v>
      </c>
      <c r="F9" s="3">
        <f t="shared" si="5"/>
        <v>5</v>
      </c>
      <c r="G9" s="3">
        <f t="shared" si="5"/>
        <v>5</v>
      </c>
      <c r="H9" s="3">
        <f t="shared" si="5"/>
        <v>5</v>
      </c>
      <c r="I9" s="3">
        <f t="shared" si="5"/>
        <v>5</v>
      </c>
      <c r="J9" s="21" t="s">
        <v>21</v>
      </c>
      <c r="K9" s="1" t="s">
        <v>680</v>
      </c>
      <c r="M9" s="15" t="s">
        <v>16</v>
      </c>
      <c r="N9" s="15"/>
      <c r="O9" s="34">
        <f>SUM(O4:O8)</f>
        <v>233450</v>
      </c>
      <c r="P9" s="34">
        <f>SUM(P4:P8)</f>
        <v>2505</v>
      </c>
      <c r="Q9" s="34">
        <f>SUM(Q4:Q8)</f>
        <v>2858</v>
      </c>
      <c r="R9" s="34">
        <f>SUM(R4:R8)</f>
        <v>4341</v>
      </c>
      <c r="S9" s="16">
        <f>SUM(S4:S8)</f>
        <v>243154</v>
      </c>
    </row>
    <row r="10" spans="2:19" ht="15.5" x14ac:dyDescent="0.4">
      <c r="B10" s="101" t="s">
        <v>61</v>
      </c>
      <c r="C10" s="9" t="s">
        <v>43</v>
      </c>
      <c r="D10" s="3">
        <f>'Baseline Emission'!D9</f>
        <v>0.6</v>
      </c>
      <c r="E10" s="3">
        <f t="shared" ref="E10:I10" si="6">D10</f>
        <v>0.6</v>
      </c>
      <c r="F10" s="3">
        <f t="shared" si="6"/>
        <v>0.6</v>
      </c>
      <c r="G10" s="3">
        <f t="shared" si="6"/>
        <v>0.6</v>
      </c>
      <c r="H10" s="3">
        <f t="shared" si="6"/>
        <v>0.6</v>
      </c>
      <c r="I10" s="3">
        <f t="shared" si="6"/>
        <v>0.6</v>
      </c>
      <c r="J10" s="23" t="s">
        <v>28</v>
      </c>
      <c r="K10" s="1" t="s">
        <v>680</v>
      </c>
    </row>
    <row r="11" spans="2:19" ht="15.65" customHeight="1" x14ac:dyDescent="0.4">
      <c r="B11" s="102"/>
      <c r="C11" s="9" t="s">
        <v>44</v>
      </c>
      <c r="D11" s="3">
        <f>'Baseline Emission'!D10</f>
        <v>0.6</v>
      </c>
      <c r="E11" s="3">
        <f t="shared" ref="E11:I11" si="7">D11</f>
        <v>0.6</v>
      </c>
      <c r="F11" s="3">
        <f t="shared" si="7"/>
        <v>0.6</v>
      </c>
      <c r="G11" s="3">
        <f t="shared" si="7"/>
        <v>0.6</v>
      </c>
      <c r="H11" s="3">
        <f t="shared" si="7"/>
        <v>0.6</v>
      </c>
      <c r="I11" s="3">
        <f t="shared" si="7"/>
        <v>0.6</v>
      </c>
      <c r="J11" s="23" t="s">
        <v>28</v>
      </c>
      <c r="K11" s="1" t="s">
        <v>680</v>
      </c>
    </row>
    <row r="12" spans="2:19" ht="14" x14ac:dyDescent="0.3">
      <c r="B12" s="101" t="s">
        <v>80</v>
      </c>
      <c r="C12" s="9" t="s">
        <v>43</v>
      </c>
      <c r="D12" s="13">
        <f>'Baseline Emission'!$D$11-'Leakage Emission'!D12</f>
        <v>151131</v>
      </c>
      <c r="E12" s="13">
        <f>'Baseline Emission'!$D$11-'Leakage Emission'!E12</f>
        <v>99144</v>
      </c>
      <c r="F12" s="13">
        <f>'Baseline Emission'!$D$11-'Leakage Emission'!F12</f>
        <v>53206</v>
      </c>
      <c r="G12" s="13">
        <f>'Baseline Emission'!$D$11-'Leakage Emission'!G12</f>
        <v>53206</v>
      </c>
      <c r="H12" s="13">
        <f>'Baseline Emission'!$D$11-'Leakage Emission'!H12</f>
        <v>53206</v>
      </c>
      <c r="I12" s="13">
        <f>'Baseline Emission'!$D$11-'Leakage Emission'!I12</f>
        <v>53206</v>
      </c>
      <c r="J12" s="21" t="s">
        <v>4</v>
      </c>
      <c r="K12" s="80" t="s">
        <v>155</v>
      </c>
      <c r="P12"/>
    </row>
    <row r="13" spans="2:19" ht="15.65" customHeight="1" x14ac:dyDescent="0.3">
      <c r="B13" s="102"/>
      <c r="C13" s="9" t="s">
        <v>44</v>
      </c>
      <c r="D13" s="13">
        <f>'Baseline Emission'!$D$12-'Leakage Emission'!D13</f>
        <v>528465</v>
      </c>
      <c r="E13" s="13">
        <f>'Baseline Emission'!$D$12-'Leakage Emission'!E13</f>
        <v>346680</v>
      </c>
      <c r="F13" s="13">
        <f>'Baseline Emission'!$D$12-'Leakage Emission'!F13</f>
        <v>186046</v>
      </c>
      <c r="G13" s="13">
        <f>'Baseline Emission'!$D$12-'Leakage Emission'!G13</f>
        <v>186046</v>
      </c>
      <c r="H13" s="13">
        <f>'Baseline Emission'!$D$12-'Leakage Emission'!H13</f>
        <v>186046</v>
      </c>
      <c r="I13" s="13">
        <f>'Baseline Emission'!$D$12-'Leakage Emission'!I13</f>
        <v>186046</v>
      </c>
      <c r="J13" s="21" t="s">
        <v>4</v>
      </c>
      <c r="K13" s="80" t="s">
        <v>155</v>
      </c>
    </row>
    <row r="14" spans="2:19" ht="14" x14ac:dyDescent="0.3">
      <c r="B14" s="101" t="s">
        <v>81</v>
      </c>
      <c r="C14" s="9" t="s">
        <v>43</v>
      </c>
      <c r="D14" s="3">
        <v>300</v>
      </c>
      <c r="E14" s="3">
        <v>300</v>
      </c>
      <c r="F14" s="3">
        <v>300</v>
      </c>
      <c r="G14" s="3">
        <v>300</v>
      </c>
      <c r="H14" s="3">
        <v>300</v>
      </c>
      <c r="I14" s="3">
        <v>300</v>
      </c>
      <c r="J14" s="21" t="s">
        <v>9</v>
      </c>
      <c r="K14" s="80" t="s">
        <v>55</v>
      </c>
      <c r="M14"/>
      <c r="N14"/>
    </row>
    <row r="15" spans="2:19" ht="15.65" customHeight="1" x14ac:dyDescent="0.3">
      <c r="B15" s="102"/>
      <c r="C15" s="9" t="s">
        <v>44</v>
      </c>
      <c r="D15" s="3">
        <v>45</v>
      </c>
      <c r="E15" s="3">
        <v>45</v>
      </c>
      <c r="F15" s="3">
        <v>45</v>
      </c>
      <c r="G15" s="3">
        <v>45</v>
      </c>
      <c r="H15" s="3">
        <v>45</v>
      </c>
      <c r="I15" s="3">
        <v>45</v>
      </c>
      <c r="J15" s="21" t="s">
        <v>9</v>
      </c>
      <c r="K15" s="80" t="s">
        <v>55</v>
      </c>
    </row>
    <row r="16" spans="2:19" ht="13" x14ac:dyDescent="0.3">
      <c r="B16" s="101" t="s">
        <v>52</v>
      </c>
      <c r="C16" s="9" t="s">
        <v>43</v>
      </c>
      <c r="D16" s="3">
        <f>'Baseline Emission'!D15</f>
        <v>0.38</v>
      </c>
      <c r="E16" s="3">
        <f t="shared" ref="E16:I17" si="8">D16</f>
        <v>0.38</v>
      </c>
      <c r="F16" s="3">
        <f t="shared" si="8"/>
        <v>0.38</v>
      </c>
      <c r="G16" s="3">
        <f t="shared" si="8"/>
        <v>0.38</v>
      </c>
      <c r="H16" s="3">
        <f t="shared" si="8"/>
        <v>0.38</v>
      </c>
      <c r="I16" s="3">
        <f t="shared" si="8"/>
        <v>0.38</v>
      </c>
      <c r="J16" s="21" t="s">
        <v>8</v>
      </c>
      <c r="K16" s="1" t="s">
        <v>680</v>
      </c>
    </row>
    <row r="17" spans="2:20" ht="15.65" customHeight="1" x14ac:dyDescent="0.3">
      <c r="B17" s="102"/>
      <c r="C17" s="9" t="s">
        <v>44</v>
      </c>
      <c r="D17" s="3">
        <f>'Baseline Emission'!D16</f>
        <v>0.32</v>
      </c>
      <c r="E17" s="3">
        <f t="shared" si="8"/>
        <v>0.32</v>
      </c>
      <c r="F17" s="3">
        <f t="shared" si="8"/>
        <v>0.32</v>
      </c>
      <c r="G17" s="3">
        <f t="shared" si="8"/>
        <v>0.32</v>
      </c>
      <c r="H17" s="3">
        <f t="shared" si="8"/>
        <v>0.32</v>
      </c>
      <c r="I17" s="3">
        <f t="shared" si="8"/>
        <v>0.32</v>
      </c>
      <c r="J17" s="21" t="s">
        <v>8</v>
      </c>
      <c r="K17" s="1" t="s">
        <v>680</v>
      </c>
      <c r="M17"/>
      <c r="N17"/>
      <c r="T17"/>
    </row>
    <row r="18" spans="2:20" ht="14" x14ac:dyDescent="0.3">
      <c r="B18" s="101" t="s">
        <v>82</v>
      </c>
      <c r="C18" s="9" t="s">
        <v>43</v>
      </c>
      <c r="D18" s="11">
        <v>8</v>
      </c>
      <c r="E18" s="11">
        <v>8</v>
      </c>
      <c r="F18" s="11">
        <v>8</v>
      </c>
      <c r="G18" s="11">
        <v>8</v>
      </c>
      <c r="H18" s="11">
        <v>8</v>
      </c>
      <c r="I18" s="11">
        <v>8</v>
      </c>
      <c r="J18" s="21" t="s">
        <v>7</v>
      </c>
      <c r="K18" s="80" t="s">
        <v>155</v>
      </c>
      <c r="P18"/>
      <c r="T18"/>
    </row>
    <row r="19" spans="2:20" ht="15.65" customHeight="1" x14ac:dyDescent="0.3">
      <c r="B19" s="102"/>
      <c r="C19" s="9" t="s">
        <v>44</v>
      </c>
      <c r="D19" s="11">
        <v>8</v>
      </c>
      <c r="E19" s="11">
        <v>8</v>
      </c>
      <c r="F19" s="11">
        <v>8</v>
      </c>
      <c r="G19" s="11">
        <v>8</v>
      </c>
      <c r="H19" s="11">
        <v>8</v>
      </c>
      <c r="I19" s="11">
        <v>8</v>
      </c>
      <c r="J19" s="21" t="s">
        <v>7</v>
      </c>
      <c r="K19" s="80" t="s">
        <v>155</v>
      </c>
    </row>
    <row r="20" spans="2:20" ht="14" x14ac:dyDescent="0.3">
      <c r="B20" s="101" t="s">
        <v>83</v>
      </c>
      <c r="C20" s="9" t="s">
        <v>43</v>
      </c>
      <c r="D20" s="11">
        <v>60</v>
      </c>
      <c r="E20" s="11">
        <v>125</v>
      </c>
      <c r="F20" s="11">
        <v>125</v>
      </c>
      <c r="G20" s="11">
        <v>125</v>
      </c>
      <c r="H20" s="11">
        <v>125</v>
      </c>
      <c r="I20" s="11">
        <v>125</v>
      </c>
      <c r="J20" s="21" t="s">
        <v>5</v>
      </c>
      <c r="K20" s="80" t="s">
        <v>155</v>
      </c>
      <c r="M20"/>
      <c r="N20"/>
    </row>
    <row r="21" spans="2:20" ht="15.65" customHeight="1" x14ac:dyDescent="0.3">
      <c r="B21" s="102"/>
      <c r="C21" s="9" t="s">
        <v>44</v>
      </c>
      <c r="D21" s="11">
        <v>60</v>
      </c>
      <c r="E21" s="11">
        <v>125</v>
      </c>
      <c r="F21" s="11">
        <v>125</v>
      </c>
      <c r="G21" s="11">
        <v>125</v>
      </c>
      <c r="H21" s="11">
        <v>125</v>
      </c>
      <c r="I21" s="11">
        <v>125</v>
      </c>
      <c r="J21" s="21" t="s">
        <v>5</v>
      </c>
      <c r="K21" s="80" t="s">
        <v>155</v>
      </c>
    </row>
    <row r="22" spans="2:20" ht="15.65" customHeight="1" x14ac:dyDescent="0.3">
      <c r="B22" s="101" t="s">
        <v>25</v>
      </c>
      <c r="C22" s="9" t="s">
        <v>43</v>
      </c>
      <c r="D22" s="3">
        <f>'Baseline Emission'!D21</f>
        <v>0.21199999999999999</v>
      </c>
      <c r="E22" s="3">
        <f t="shared" ref="E22:I24" si="9">D22</f>
        <v>0.21199999999999999</v>
      </c>
      <c r="F22" s="3">
        <f t="shared" si="9"/>
        <v>0.21199999999999999</v>
      </c>
      <c r="G22" s="3">
        <f t="shared" si="9"/>
        <v>0.21199999999999999</v>
      </c>
      <c r="H22" s="3">
        <f t="shared" si="9"/>
        <v>0.21199999999999999</v>
      </c>
      <c r="I22" s="3">
        <f t="shared" si="9"/>
        <v>0.21199999999999999</v>
      </c>
      <c r="J22" s="21" t="s">
        <v>10</v>
      </c>
      <c r="K22" s="1" t="s">
        <v>680</v>
      </c>
    </row>
    <row r="23" spans="2:20" ht="13" x14ac:dyDescent="0.3">
      <c r="B23" s="102"/>
      <c r="C23" s="9" t="s">
        <v>44</v>
      </c>
      <c r="D23" s="3">
        <f>'Baseline Emission'!D22</f>
        <v>0.21199999999999999</v>
      </c>
      <c r="E23" s="3">
        <f t="shared" si="9"/>
        <v>0.21199999999999999</v>
      </c>
      <c r="F23" s="3">
        <f t="shared" si="9"/>
        <v>0.21199999999999999</v>
      </c>
      <c r="G23" s="3">
        <f t="shared" si="9"/>
        <v>0.21199999999999999</v>
      </c>
      <c r="H23" s="3">
        <f t="shared" si="9"/>
        <v>0.21199999999999999</v>
      </c>
      <c r="I23" s="3">
        <f t="shared" si="9"/>
        <v>0.21199999999999999</v>
      </c>
      <c r="J23" s="21" t="s">
        <v>10</v>
      </c>
      <c r="K23" s="1" t="s">
        <v>680</v>
      </c>
    </row>
    <row r="24" spans="2:20" ht="15" x14ac:dyDescent="0.3">
      <c r="B24" s="105" t="s">
        <v>26</v>
      </c>
      <c r="C24" s="106"/>
      <c r="D24" s="3">
        <f>'Baseline Emission'!D23</f>
        <v>5.0000000000000001E-3</v>
      </c>
      <c r="E24" s="3">
        <f t="shared" si="9"/>
        <v>5.0000000000000001E-3</v>
      </c>
      <c r="F24" s="3">
        <f t="shared" si="9"/>
        <v>5.0000000000000001E-3</v>
      </c>
      <c r="G24" s="3">
        <f t="shared" si="9"/>
        <v>5.0000000000000001E-3</v>
      </c>
      <c r="H24" s="3">
        <f t="shared" si="9"/>
        <v>5.0000000000000001E-3</v>
      </c>
      <c r="I24" s="3">
        <f t="shared" si="9"/>
        <v>5.0000000000000001E-3</v>
      </c>
      <c r="J24" s="22" t="s">
        <v>12</v>
      </c>
      <c r="K24" s="1" t="s">
        <v>681</v>
      </c>
    </row>
    <row r="25" spans="2:20" ht="15" x14ac:dyDescent="0.3">
      <c r="B25" s="9" t="s">
        <v>29</v>
      </c>
      <c r="C25" s="9"/>
      <c r="D25" s="13">
        <v>429250.2</v>
      </c>
      <c r="E25" s="13">
        <v>554792</v>
      </c>
      <c r="F25" s="13">
        <v>378207</v>
      </c>
      <c r="G25" s="13">
        <v>0</v>
      </c>
      <c r="H25" s="13">
        <v>0</v>
      </c>
      <c r="I25" s="13">
        <v>0</v>
      </c>
      <c r="J25" s="3" t="s">
        <v>13</v>
      </c>
      <c r="K25" s="80" t="s">
        <v>156</v>
      </c>
      <c r="M25"/>
      <c r="N25"/>
    </row>
    <row r="26" spans="2:20" ht="15.5" x14ac:dyDescent="0.3">
      <c r="B26" s="9" t="s">
        <v>30</v>
      </c>
      <c r="C26" s="9"/>
      <c r="D26" s="3">
        <v>7.4099999999999999E-2</v>
      </c>
      <c r="E26" s="3">
        <v>7.4099999999999999E-2</v>
      </c>
      <c r="F26" s="3">
        <v>7.4099999999999999E-2</v>
      </c>
      <c r="G26" s="3">
        <v>7.4099999999999999E-2</v>
      </c>
      <c r="H26" s="3">
        <v>7.4099999999999999E-2</v>
      </c>
      <c r="I26" s="3">
        <v>7.4099999999999999E-2</v>
      </c>
      <c r="J26" s="3" t="s">
        <v>31</v>
      </c>
      <c r="K26" s="1" t="s">
        <v>682</v>
      </c>
    </row>
    <row r="27" spans="2:20" ht="15" x14ac:dyDescent="0.3">
      <c r="B27" s="9" t="s">
        <v>32</v>
      </c>
      <c r="C27" s="9"/>
      <c r="D27" s="3">
        <v>43</v>
      </c>
      <c r="E27" s="3">
        <v>43</v>
      </c>
      <c r="F27" s="3">
        <v>43</v>
      </c>
      <c r="G27" s="3">
        <v>43</v>
      </c>
      <c r="H27" s="3">
        <v>43</v>
      </c>
      <c r="I27" s="3">
        <v>43</v>
      </c>
      <c r="J27" s="3" t="s">
        <v>14</v>
      </c>
      <c r="K27" s="1" t="s">
        <v>682</v>
      </c>
    </row>
    <row r="28" spans="2:20" ht="14" x14ac:dyDescent="0.3">
      <c r="T28"/>
    </row>
    <row r="29" spans="2:20" ht="15" x14ac:dyDescent="0.3">
      <c r="B29" s="6" t="s">
        <v>67</v>
      </c>
      <c r="C29" s="6"/>
      <c r="D29" s="6"/>
      <c r="E29" s="6"/>
      <c r="F29" s="6"/>
      <c r="G29" s="6"/>
    </row>
    <row r="30" spans="2:20" ht="14" x14ac:dyDescent="0.3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T30"/>
    </row>
    <row r="31" spans="2:20" x14ac:dyDescent="0.25"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T31" s="12" t="s">
        <v>50</v>
      </c>
    </row>
    <row r="32" spans="2:20" x14ac:dyDescent="0.3">
      <c r="B32" s="103"/>
      <c r="C32" s="103"/>
      <c r="D32" s="103"/>
      <c r="E32" s="103"/>
      <c r="F32" s="103"/>
      <c r="G32" s="103"/>
      <c r="H32" s="103"/>
      <c r="I32" s="103"/>
      <c r="J32" s="103"/>
      <c r="K32" s="103"/>
    </row>
    <row r="33" spans="2:14" ht="14" customHeight="1" x14ac:dyDescent="0.3">
      <c r="B33" s="97" t="s">
        <v>0</v>
      </c>
      <c r="C33" s="98"/>
      <c r="D33" s="97" t="s">
        <v>1</v>
      </c>
      <c r="E33" s="107"/>
      <c r="F33" s="107"/>
      <c r="G33" s="107"/>
      <c r="H33" s="98"/>
      <c r="I33" s="77"/>
      <c r="J33" s="47" t="s">
        <v>2</v>
      </c>
      <c r="K33" s="47" t="s">
        <v>3</v>
      </c>
    </row>
    <row r="34" spans="2:14" ht="26" x14ac:dyDescent="0.3">
      <c r="B34" s="78"/>
      <c r="C34" s="77"/>
      <c r="D34" s="77">
        <v>2017</v>
      </c>
      <c r="E34" s="77">
        <v>2018</v>
      </c>
      <c r="F34" s="77">
        <v>2019</v>
      </c>
      <c r="G34" s="77">
        <v>2020</v>
      </c>
      <c r="H34" s="47">
        <v>2021</v>
      </c>
      <c r="I34" s="79" t="s">
        <v>92</v>
      </c>
      <c r="J34" s="47"/>
      <c r="K34" s="47"/>
    </row>
    <row r="35" spans="2:14" ht="15" x14ac:dyDescent="0.3">
      <c r="B35" s="99" t="s">
        <v>68</v>
      </c>
      <c r="C35" s="100"/>
      <c r="D35" s="16">
        <f>(D4*D12*D8*D20+D4*D13*D9*D21)/(1000*365)</f>
        <v>51116.467068493148</v>
      </c>
      <c r="E35" s="16">
        <f t="shared" ref="E35:I35" si="10">(E4*E12*E8*E20+E4*E13*E9*E21)/(1000*365)</f>
        <v>69860.613698630143</v>
      </c>
      <c r="F35" s="16">
        <f t="shared" si="10"/>
        <v>37490.90684931507</v>
      </c>
      <c r="G35" s="16">
        <f t="shared" si="10"/>
        <v>37490.90684931507</v>
      </c>
      <c r="H35" s="16">
        <f t="shared" si="10"/>
        <v>37490.90684931507</v>
      </c>
      <c r="I35" s="16">
        <f t="shared" si="10"/>
        <v>37490.90684931507</v>
      </c>
      <c r="J35" s="19" t="s">
        <v>64</v>
      </c>
      <c r="K35" s="3" t="s">
        <v>66</v>
      </c>
    </row>
    <row r="36" spans="2:14" x14ac:dyDescent="0.3">
      <c r="B36" s="7"/>
      <c r="C36" s="7"/>
      <c r="D36" s="7"/>
      <c r="E36" s="7"/>
      <c r="F36" s="7"/>
      <c r="G36" s="7"/>
    </row>
    <row r="37" spans="2:14" ht="15" x14ac:dyDescent="0.3">
      <c r="B37" s="6" t="s">
        <v>70</v>
      </c>
      <c r="C37" s="6"/>
      <c r="D37" s="6"/>
      <c r="E37" s="6"/>
      <c r="F37" s="6"/>
      <c r="G37" s="6"/>
      <c r="K37"/>
    </row>
    <row r="38" spans="2:14" x14ac:dyDescent="0.3">
      <c r="B38" s="103"/>
      <c r="C38" s="103"/>
      <c r="D38" s="103"/>
      <c r="E38" s="103"/>
      <c r="F38" s="103"/>
      <c r="G38" s="103"/>
      <c r="H38" s="103"/>
      <c r="I38" s="103"/>
      <c r="J38" s="103"/>
      <c r="K38" s="103"/>
    </row>
    <row r="39" spans="2:14" x14ac:dyDescent="0.3">
      <c r="B39" s="103"/>
      <c r="C39" s="103"/>
      <c r="D39" s="103"/>
      <c r="E39" s="103"/>
      <c r="F39" s="103"/>
      <c r="G39" s="103"/>
      <c r="H39" s="103"/>
      <c r="I39" s="103"/>
      <c r="J39" s="103"/>
      <c r="K39" s="103"/>
    </row>
    <row r="40" spans="2:14" x14ac:dyDescent="0.3">
      <c r="B40" s="103"/>
      <c r="C40" s="103"/>
      <c r="D40" s="103"/>
      <c r="E40" s="103"/>
      <c r="F40" s="103"/>
      <c r="G40" s="103"/>
      <c r="H40" s="103"/>
      <c r="I40" s="103"/>
      <c r="J40" s="103"/>
      <c r="K40" s="103"/>
    </row>
    <row r="41" spans="2:14" ht="15" x14ac:dyDescent="0.3">
      <c r="B41" s="6" t="s">
        <v>69</v>
      </c>
      <c r="C41" s="6"/>
      <c r="D41" s="6"/>
      <c r="E41" s="6"/>
      <c r="F41" s="6"/>
      <c r="G41" s="6"/>
    </row>
    <row r="42" spans="2:14" x14ac:dyDescent="0.3"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2:14" x14ac:dyDescent="0.3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M43" s="2"/>
      <c r="N43" s="2"/>
    </row>
    <row r="44" spans="2:14" x14ac:dyDescent="0.3"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M44" s="2"/>
      <c r="N44" s="2"/>
    </row>
    <row r="45" spans="2:14" ht="14" customHeight="1" x14ac:dyDescent="0.3">
      <c r="B45" s="97" t="s">
        <v>0</v>
      </c>
      <c r="C45" s="98"/>
      <c r="D45" s="97" t="s">
        <v>1</v>
      </c>
      <c r="E45" s="107"/>
      <c r="F45" s="107"/>
      <c r="G45" s="107"/>
      <c r="H45" s="98"/>
      <c r="I45" s="77"/>
      <c r="J45" s="47" t="s">
        <v>2</v>
      </c>
      <c r="K45" s="47" t="s">
        <v>3</v>
      </c>
      <c r="M45" s="2"/>
      <c r="N45" s="2"/>
    </row>
    <row r="46" spans="2:14" ht="26" x14ac:dyDescent="0.3">
      <c r="B46" s="78"/>
      <c r="C46" s="77"/>
      <c r="D46" s="77">
        <v>2017</v>
      </c>
      <c r="E46" s="77">
        <v>2018</v>
      </c>
      <c r="F46" s="77">
        <v>2019</v>
      </c>
      <c r="G46" s="77">
        <v>2020</v>
      </c>
      <c r="H46" s="47">
        <v>2021</v>
      </c>
      <c r="I46" s="79" t="s">
        <v>92</v>
      </c>
      <c r="J46" s="47"/>
      <c r="K46" s="47"/>
      <c r="M46" s="2"/>
      <c r="N46" s="2"/>
    </row>
    <row r="47" spans="2:14" ht="15" x14ac:dyDescent="0.3">
      <c r="B47" s="99" t="s">
        <v>72</v>
      </c>
      <c r="C47" s="100"/>
      <c r="D47" s="18">
        <f t="shared" ref="D47:I47" si="11">D5*(D62+D63)</f>
        <v>548.76933864833154</v>
      </c>
      <c r="E47" s="18">
        <f t="shared" si="11"/>
        <v>750.00017083577154</v>
      </c>
      <c r="F47" s="18">
        <f t="shared" si="11"/>
        <v>402.48951016390288</v>
      </c>
      <c r="G47" s="18">
        <f t="shared" si="11"/>
        <v>402.48951016390288</v>
      </c>
      <c r="H47" s="18">
        <f t="shared" si="11"/>
        <v>402.48951016390288</v>
      </c>
      <c r="I47" s="18">
        <f t="shared" si="11"/>
        <v>402.48951016390288</v>
      </c>
      <c r="J47" s="19" t="s">
        <v>64</v>
      </c>
      <c r="K47" s="3" t="s">
        <v>66</v>
      </c>
      <c r="M47" s="2"/>
      <c r="N47" s="2"/>
    </row>
    <row r="48" spans="2:14" x14ac:dyDescent="0.3">
      <c r="B48" s="7"/>
      <c r="C48" s="7"/>
      <c r="D48" s="7"/>
      <c r="E48" s="7"/>
      <c r="F48" s="7"/>
      <c r="G48" s="7"/>
      <c r="M48" s="2"/>
      <c r="N48" s="2"/>
    </row>
    <row r="49" spans="2:20" ht="15" x14ac:dyDescent="0.3">
      <c r="B49" s="6" t="s">
        <v>57</v>
      </c>
      <c r="C49" s="6"/>
      <c r="D49" s="6"/>
      <c r="E49" s="6"/>
      <c r="F49" s="6"/>
      <c r="G49" s="6"/>
      <c r="M49" s="2"/>
      <c r="N49" s="2"/>
    </row>
    <row r="50" spans="2:20" x14ac:dyDescent="0.3">
      <c r="B50" s="103"/>
      <c r="C50" s="103"/>
      <c r="D50" s="103"/>
      <c r="E50" s="103"/>
      <c r="F50" s="103"/>
      <c r="G50" s="103"/>
      <c r="H50" s="103"/>
      <c r="I50" s="103"/>
      <c r="J50" s="103"/>
      <c r="K50" s="103"/>
    </row>
    <row r="51" spans="2:20" x14ac:dyDescent="0.3">
      <c r="B51" s="103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2:20" x14ac:dyDescent="0.3"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  <row r="53" spans="2:20" x14ac:dyDescent="0.3"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2:20" ht="14" x14ac:dyDescent="0.3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T54"/>
    </row>
    <row r="55" spans="2:20" x14ac:dyDescent="0.3">
      <c r="B55" s="104"/>
      <c r="C55" s="104"/>
      <c r="D55" s="104"/>
      <c r="E55" s="104"/>
      <c r="F55" s="104"/>
      <c r="G55" s="104"/>
      <c r="H55" s="104"/>
      <c r="I55" s="104"/>
      <c r="J55" s="104"/>
      <c r="K55" s="104"/>
    </row>
    <row r="56" spans="2:20" ht="15" x14ac:dyDescent="0.3">
      <c r="B56" s="6" t="s">
        <v>58</v>
      </c>
      <c r="C56" s="6"/>
      <c r="D56" s="6"/>
      <c r="E56" s="6"/>
      <c r="F56" s="6"/>
      <c r="G56" s="6"/>
    </row>
    <row r="57" spans="2:20" x14ac:dyDescent="0.3">
      <c r="B57" s="103"/>
      <c r="C57" s="103"/>
      <c r="D57" s="103"/>
      <c r="E57" s="103"/>
      <c r="F57" s="103"/>
      <c r="G57" s="103"/>
      <c r="H57" s="103"/>
      <c r="I57" s="103"/>
      <c r="J57" s="103"/>
      <c r="K57" s="103"/>
    </row>
    <row r="58" spans="2:20" x14ac:dyDescent="0.3">
      <c r="B58" s="103"/>
      <c r="C58" s="103"/>
      <c r="D58" s="103"/>
      <c r="E58" s="103"/>
      <c r="F58" s="103"/>
      <c r="G58" s="103"/>
      <c r="H58" s="103"/>
      <c r="I58" s="103"/>
      <c r="J58" s="103"/>
      <c r="K58" s="103"/>
    </row>
    <row r="59" spans="2:20" x14ac:dyDescent="0.3">
      <c r="B59" s="104"/>
      <c r="C59" s="104"/>
      <c r="D59" s="104"/>
      <c r="E59" s="104"/>
      <c r="F59" s="104"/>
      <c r="G59" s="104"/>
      <c r="H59" s="104"/>
      <c r="I59" s="104"/>
      <c r="J59" s="104"/>
      <c r="K59" s="104"/>
    </row>
    <row r="60" spans="2:20" ht="13" x14ac:dyDescent="0.3">
      <c r="B60" s="97" t="s">
        <v>0</v>
      </c>
      <c r="C60" s="98"/>
      <c r="D60" s="97" t="s">
        <v>1</v>
      </c>
      <c r="E60" s="107"/>
      <c r="F60" s="107"/>
      <c r="G60" s="107"/>
      <c r="H60" s="98"/>
      <c r="I60" s="77"/>
      <c r="J60" s="47" t="s">
        <v>2</v>
      </c>
      <c r="K60" s="47" t="s">
        <v>3</v>
      </c>
    </row>
    <row r="61" spans="2:20" ht="26" x14ac:dyDescent="0.3">
      <c r="B61" s="78"/>
      <c r="C61" s="77"/>
      <c r="D61" s="77">
        <v>2017</v>
      </c>
      <c r="E61" s="77">
        <v>2018</v>
      </c>
      <c r="F61" s="77">
        <v>2019</v>
      </c>
      <c r="G61" s="77">
        <v>2020</v>
      </c>
      <c r="H61" s="47">
        <v>2021</v>
      </c>
      <c r="I61" s="79" t="s">
        <v>92</v>
      </c>
      <c r="J61" s="47"/>
      <c r="K61" s="47"/>
    </row>
    <row r="62" spans="2:20" ht="15" x14ac:dyDescent="0.3">
      <c r="B62" s="99" t="s">
        <v>73</v>
      </c>
      <c r="C62" s="100"/>
      <c r="D62" s="17">
        <f t="shared" ref="D62:I62" si="12">D12*D14*D16*D18*D20*(1-D22)/(1000*24*1000)*D6*44/28+D13*D15*D17*D19*D21*(1-D23)/(1000*24*1000)*D7*44/28</f>
        <v>1.4187672440228574</v>
      </c>
      <c r="E62" s="17">
        <f t="shared" si="12"/>
        <v>1.9390216937142859</v>
      </c>
      <c r="F62" s="17">
        <f t="shared" si="12"/>
        <v>1.0405807694857143</v>
      </c>
      <c r="G62" s="17">
        <f t="shared" si="12"/>
        <v>1.0405807694857143</v>
      </c>
      <c r="H62" s="17">
        <f t="shared" si="12"/>
        <v>1.0405807694857143</v>
      </c>
      <c r="I62" s="17">
        <f t="shared" si="12"/>
        <v>1.0405807694857143</v>
      </c>
      <c r="J62" s="3" t="s">
        <v>11</v>
      </c>
      <c r="K62" s="3" t="s">
        <v>66</v>
      </c>
      <c r="T62"/>
    </row>
    <row r="63" spans="2:20" ht="15" x14ac:dyDescent="0.3">
      <c r="B63" s="99" t="s">
        <v>74</v>
      </c>
      <c r="C63" s="100"/>
      <c r="D63" s="17">
        <f t="shared" ref="D63:I63" si="13">D12*D14*D16*D18*D20*(1-D22)*D22*D24/(1000*24*1000)*44/28+D13*D15*D17*D19*D21*(1-D23)*D23*D24/(1000*24*1000)*44/28</f>
        <v>0.65206044898971438</v>
      </c>
      <c r="E63" s="17">
        <f t="shared" si="13"/>
        <v>0.8911676301942858</v>
      </c>
      <c r="F63" s="17">
        <f t="shared" si="13"/>
        <v>0.47824757075542856</v>
      </c>
      <c r="G63" s="17">
        <f t="shared" si="13"/>
        <v>0.47824757075542856</v>
      </c>
      <c r="H63" s="17">
        <f t="shared" si="13"/>
        <v>0.47824757075542856</v>
      </c>
      <c r="I63" s="17">
        <f t="shared" si="13"/>
        <v>0.47824757075542856</v>
      </c>
      <c r="J63" s="3" t="s">
        <v>11</v>
      </c>
      <c r="K63" s="3" t="s">
        <v>66</v>
      </c>
    </row>
    <row r="64" spans="2:20" ht="13" x14ac:dyDescent="0.3"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2:12" ht="15" x14ac:dyDescent="0.3">
      <c r="B65" s="6" t="s">
        <v>60</v>
      </c>
      <c r="C65" s="6"/>
      <c r="D65" s="6"/>
      <c r="E65" s="6"/>
      <c r="F65" s="6"/>
      <c r="G65" s="6"/>
    </row>
    <row r="66" spans="2:12" x14ac:dyDescent="0.3">
      <c r="B66" s="103"/>
      <c r="C66" s="103"/>
      <c r="D66" s="103"/>
      <c r="E66" s="103"/>
      <c r="F66" s="103"/>
      <c r="G66" s="103"/>
      <c r="H66" s="103"/>
      <c r="I66" s="103"/>
      <c r="J66" s="103"/>
      <c r="K66" s="103"/>
    </row>
    <row r="67" spans="2:12" x14ac:dyDescent="0.3">
      <c r="B67" s="103"/>
      <c r="C67" s="103"/>
      <c r="D67" s="103"/>
      <c r="E67" s="103"/>
      <c r="F67" s="103"/>
      <c r="G67" s="103"/>
      <c r="H67" s="103"/>
      <c r="I67" s="103"/>
      <c r="J67" s="103"/>
      <c r="K67" s="103"/>
    </row>
    <row r="68" spans="2:12" x14ac:dyDescent="0.3">
      <c r="B68" s="104"/>
      <c r="C68" s="104"/>
      <c r="D68" s="104"/>
      <c r="E68" s="104"/>
      <c r="F68" s="104"/>
      <c r="G68" s="104"/>
      <c r="H68" s="104"/>
      <c r="I68" s="104"/>
      <c r="J68" s="104"/>
      <c r="K68" s="104"/>
    </row>
    <row r="69" spans="2:12" ht="13" x14ac:dyDescent="0.3">
      <c r="B69" s="108" t="s">
        <v>0</v>
      </c>
      <c r="C69" s="109"/>
      <c r="D69" s="97" t="s">
        <v>1</v>
      </c>
      <c r="E69" s="107"/>
      <c r="F69" s="107"/>
      <c r="G69" s="107"/>
      <c r="H69" s="98"/>
      <c r="I69" s="77"/>
      <c r="J69" s="47" t="s">
        <v>2</v>
      </c>
      <c r="K69" s="47" t="s">
        <v>3</v>
      </c>
    </row>
    <row r="70" spans="2:12" ht="26" x14ac:dyDescent="0.3">
      <c r="B70" s="81"/>
      <c r="C70" s="82"/>
      <c r="D70" s="77">
        <v>2017</v>
      </c>
      <c r="E70" s="77">
        <v>2018</v>
      </c>
      <c r="F70" s="77">
        <v>2019</v>
      </c>
      <c r="G70" s="77">
        <v>2020</v>
      </c>
      <c r="H70" s="47">
        <v>2021</v>
      </c>
      <c r="I70" s="79" t="s">
        <v>92</v>
      </c>
      <c r="J70" s="47"/>
      <c r="K70" s="47"/>
    </row>
    <row r="71" spans="2:12" ht="15.5" x14ac:dyDescent="0.3">
      <c r="B71" s="99" t="s">
        <v>75</v>
      </c>
      <c r="C71" s="100"/>
      <c r="D71" s="18">
        <f t="shared" ref="D71:I71" si="14">D4*D10*D12*D18*D20/(24*365*1000)+D4*D11*D13*D19*D21/(24*365*1000)</f>
        <v>625.60070136986303</v>
      </c>
      <c r="E71" s="18">
        <f t="shared" si="14"/>
        <v>855.0049315068494</v>
      </c>
      <c r="F71" s="18">
        <f t="shared" si="14"/>
        <v>458.83945205479461</v>
      </c>
      <c r="G71" s="18">
        <f t="shared" si="14"/>
        <v>458.83945205479461</v>
      </c>
      <c r="H71" s="18">
        <f t="shared" si="14"/>
        <v>458.83945205479461</v>
      </c>
      <c r="I71" s="18">
        <f t="shared" si="14"/>
        <v>458.83945205479461</v>
      </c>
      <c r="J71" s="8" t="s">
        <v>18</v>
      </c>
      <c r="K71" s="3" t="s">
        <v>66</v>
      </c>
    </row>
    <row r="72" spans="2:12" x14ac:dyDescent="0.3">
      <c r="B72" s="7"/>
      <c r="C72" s="7"/>
      <c r="D72" s="7"/>
      <c r="E72" s="7"/>
      <c r="F72" s="7"/>
      <c r="G72" s="7"/>
    </row>
    <row r="73" spans="2:12" ht="15" x14ac:dyDescent="0.3">
      <c r="B73" s="6" t="s">
        <v>71</v>
      </c>
      <c r="C73" s="7"/>
      <c r="D73" s="7"/>
      <c r="E73" s="7"/>
      <c r="F73" s="7"/>
      <c r="G73" s="7"/>
    </row>
    <row r="74" spans="2:12" x14ac:dyDescent="0.3"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spans="2:12" x14ac:dyDescent="0.3"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spans="2:12" ht="14" customHeight="1" x14ac:dyDescent="0.3">
      <c r="B76" s="111"/>
      <c r="C76" s="111"/>
      <c r="D76" s="111"/>
      <c r="E76" s="111"/>
      <c r="F76" s="111"/>
      <c r="G76" s="111"/>
      <c r="H76" s="111"/>
      <c r="I76" s="111"/>
      <c r="J76" s="111"/>
      <c r="K76" s="111"/>
    </row>
    <row r="77" spans="2:12" ht="13" x14ac:dyDescent="0.3">
      <c r="B77" s="108" t="s">
        <v>0</v>
      </c>
      <c r="C77" s="109"/>
      <c r="D77" s="97" t="s">
        <v>1</v>
      </c>
      <c r="E77" s="107"/>
      <c r="F77" s="107"/>
      <c r="G77" s="107"/>
      <c r="H77" s="98"/>
      <c r="I77" s="77"/>
      <c r="J77" s="47" t="s">
        <v>2</v>
      </c>
      <c r="K77" s="47" t="s">
        <v>3</v>
      </c>
    </row>
    <row r="78" spans="2:12" ht="26" x14ac:dyDescent="0.3">
      <c r="B78" s="81"/>
      <c r="C78" s="82"/>
      <c r="D78" s="77">
        <v>2017</v>
      </c>
      <c r="E78" s="77">
        <v>2018</v>
      </c>
      <c r="F78" s="77">
        <v>2019</v>
      </c>
      <c r="G78" s="77">
        <v>2020</v>
      </c>
      <c r="H78" s="47">
        <v>2021</v>
      </c>
      <c r="I78" s="79" t="s">
        <v>92</v>
      </c>
      <c r="J78" s="47"/>
      <c r="K78" s="47"/>
      <c r="L78" s="2"/>
    </row>
    <row r="79" spans="2:12" ht="15.5" x14ac:dyDescent="0.3">
      <c r="B79" s="99" t="s">
        <v>76</v>
      </c>
      <c r="C79" s="100"/>
      <c r="D79" s="17">
        <f>ROUND(D25*D26*D27/1000,0)</f>
        <v>1368</v>
      </c>
      <c r="E79" s="17">
        <f t="shared" ref="E79:I79" si="15">ROUND(E25*E26*E27/1000,0)</f>
        <v>1768</v>
      </c>
      <c r="F79" s="17">
        <f t="shared" si="15"/>
        <v>1205</v>
      </c>
      <c r="G79" s="17">
        <f t="shared" si="15"/>
        <v>0</v>
      </c>
      <c r="H79" s="17">
        <f t="shared" si="15"/>
        <v>0</v>
      </c>
      <c r="I79" s="17">
        <f t="shared" si="15"/>
        <v>0</v>
      </c>
      <c r="J79" s="8" t="s">
        <v>18</v>
      </c>
      <c r="K79" s="3" t="s">
        <v>40</v>
      </c>
      <c r="L79" s="2"/>
    </row>
    <row r="80" spans="2:12" x14ac:dyDescent="0.3">
      <c r="L80" s="2"/>
    </row>
    <row r="81" spans="12:12" x14ac:dyDescent="0.3">
      <c r="L81" s="2"/>
    </row>
    <row r="82" spans="12:12" x14ac:dyDescent="0.3">
      <c r="L82" s="2"/>
    </row>
    <row r="83" spans="12:12" x14ac:dyDescent="0.3">
      <c r="L83" s="2"/>
    </row>
    <row r="84" spans="12:12" x14ac:dyDescent="0.3">
      <c r="L84" s="2"/>
    </row>
  </sheetData>
  <mergeCells count="38">
    <mergeCell ref="B8:B9"/>
    <mergeCell ref="B2:C2"/>
    <mergeCell ref="B4:C4"/>
    <mergeCell ref="B5:C5"/>
    <mergeCell ref="B6:C6"/>
    <mergeCell ref="B7:C7"/>
    <mergeCell ref="B62:C62"/>
    <mergeCell ref="B22:B23"/>
    <mergeCell ref="B30:K32"/>
    <mergeCell ref="B33:C33"/>
    <mergeCell ref="B35:C35"/>
    <mergeCell ref="B38:K40"/>
    <mergeCell ref="B42:K44"/>
    <mergeCell ref="D2:H2"/>
    <mergeCell ref="B24:C24"/>
    <mergeCell ref="D60:H60"/>
    <mergeCell ref="D45:H45"/>
    <mergeCell ref="D33:H33"/>
    <mergeCell ref="B45:C45"/>
    <mergeCell ref="B47:C47"/>
    <mergeCell ref="B50:K55"/>
    <mergeCell ref="B57:K59"/>
    <mergeCell ref="B60:C60"/>
    <mergeCell ref="B10:B11"/>
    <mergeCell ref="B12:B13"/>
    <mergeCell ref="B14:B15"/>
    <mergeCell ref="B16:B17"/>
    <mergeCell ref="B18:B19"/>
    <mergeCell ref="B20:B21"/>
    <mergeCell ref="D77:H77"/>
    <mergeCell ref="B79:C79"/>
    <mergeCell ref="D69:H69"/>
    <mergeCell ref="B77:C77"/>
    <mergeCell ref="B63:C63"/>
    <mergeCell ref="B66:K68"/>
    <mergeCell ref="B69:C69"/>
    <mergeCell ref="B71:C71"/>
    <mergeCell ref="B74:K76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684A-0913-43CC-A2EA-CEC94F95ACBA}">
  <dimension ref="A2:S84"/>
  <sheetViews>
    <sheetView showGridLines="0" topLeftCell="H1" zoomScale="85" zoomScaleNormal="85" workbookViewId="0">
      <selection activeCell="K6" sqref="K6"/>
    </sheetView>
  </sheetViews>
  <sheetFormatPr defaultColWidth="8.9140625" defaultRowHeight="12.5" x14ac:dyDescent="0.3"/>
  <cols>
    <col min="1" max="1" width="2.9140625" style="2" customWidth="1"/>
    <col min="2" max="2" width="10.08203125" style="2" customWidth="1"/>
    <col min="3" max="3" width="7.9140625" style="2" customWidth="1"/>
    <col min="4" max="4" width="8.58203125" style="2" customWidth="1"/>
    <col min="5" max="7" width="7.9140625" style="2" customWidth="1"/>
    <col min="8" max="9" width="8.9140625" style="7" customWidth="1"/>
    <col min="10" max="10" width="24.9140625" style="7" customWidth="1"/>
    <col min="11" max="11" width="35.25" style="7" customWidth="1"/>
    <col min="12" max="12" width="16.25" style="7" customWidth="1"/>
    <col min="13" max="14" width="18.08203125" style="7" customWidth="1"/>
    <col min="15" max="15" width="11.4140625" style="7" customWidth="1"/>
    <col min="16" max="17" width="11" style="7" customWidth="1"/>
    <col min="18" max="16384" width="8.9140625" style="7"/>
  </cols>
  <sheetData>
    <row r="2" spans="2:18" ht="15" x14ac:dyDescent="0.3">
      <c r="B2" s="97" t="s">
        <v>0</v>
      </c>
      <c r="C2" s="98"/>
      <c r="D2" s="97" t="s">
        <v>1</v>
      </c>
      <c r="E2" s="107"/>
      <c r="F2" s="107"/>
      <c r="G2" s="107"/>
      <c r="H2" s="98"/>
      <c r="I2" s="77"/>
      <c r="J2" s="47" t="s">
        <v>2</v>
      </c>
      <c r="K2" s="47" t="s">
        <v>3</v>
      </c>
      <c r="M2" s="60" t="s">
        <v>17</v>
      </c>
      <c r="N2" s="60"/>
      <c r="O2" s="48" t="s">
        <v>128</v>
      </c>
      <c r="P2" s="48" t="s">
        <v>129</v>
      </c>
      <c r="Q2" s="48" t="s">
        <v>130</v>
      </c>
      <c r="R2" s="48" t="s">
        <v>110</v>
      </c>
    </row>
    <row r="3" spans="2:18" ht="26" x14ac:dyDescent="0.3">
      <c r="B3" s="78"/>
      <c r="C3" s="77"/>
      <c r="D3" s="77">
        <v>2017</v>
      </c>
      <c r="E3" s="77">
        <v>2018</v>
      </c>
      <c r="F3" s="77">
        <v>2019</v>
      </c>
      <c r="G3" s="77">
        <v>2020</v>
      </c>
      <c r="H3" s="47">
        <v>2021</v>
      </c>
      <c r="I3" s="79" t="s">
        <v>92</v>
      </c>
      <c r="J3" s="47"/>
      <c r="K3" s="47"/>
      <c r="M3" s="57" t="s">
        <v>123</v>
      </c>
      <c r="N3" s="47" t="s">
        <v>124</v>
      </c>
      <c r="O3" s="49" t="s">
        <v>64</v>
      </c>
      <c r="P3" s="49" t="s">
        <v>64</v>
      </c>
      <c r="Q3" s="49" t="s">
        <v>64</v>
      </c>
      <c r="R3" s="49" t="s">
        <v>64</v>
      </c>
    </row>
    <row r="4" spans="2:18" ht="15.5" x14ac:dyDescent="0.3">
      <c r="B4" s="105" t="s">
        <v>19</v>
      </c>
      <c r="C4" s="106"/>
      <c r="D4" s="11">
        <f>'Baseline Emission'!D3</f>
        <v>28</v>
      </c>
      <c r="E4" s="11">
        <f t="shared" ref="E4:E11" si="0">D4</f>
        <v>28</v>
      </c>
      <c r="F4" s="11">
        <f t="shared" ref="F4:I4" si="1">E4</f>
        <v>28</v>
      </c>
      <c r="G4" s="11">
        <f t="shared" si="1"/>
        <v>28</v>
      </c>
      <c r="H4" s="11">
        <f t="shared" si="1"/>
        <v>28</v>
      </c>
      <c r="I4" s="11">
        <f t="shared" si="1"/>
        <v>28</v>
      </c>
      <c r="J4" s="21" t="s">
        <v>20</v>
      </c>
      <c r="K4" s="1" t="s">
        <v>684</v>
      </c>
      <c r="M4" s="58">
        <v>42941</v>
      </c>
      <c r="N4" s="58">
        <v>43100</v>
      </c>
      <c r="O4" s="10">
        <f>ROUND(D44,0)</f>
        <v>10962</v>
      </c>
      <c r="P4" s="10">
        <f>ROUND(D56,0)</f>
        <v>118</v>
      </c>
      <c r="Q4" s="10">
        <f>ROUND(D80,0)</f>
        <v>134</v>
      </c>
      <c r="R4" s="10">
        <f>SUM(O4:Q4)</f>
        <v>11214</v>
      </c>
    </row>
    <row r="5" spans="2:18" ht="15" x14ac:dyDescent="0.3">
      <c r="B5" s="105" t="s">
        <v>27</v>
      </c>
      <c r="C5" s="106"/>
      <c r="D5" s="11">
        <f>'Baseline Emission'!D4</f>
        <v>265</v>
      </c>
      <c r="E5" s="11">
        <f t="shared" si="0"/>
        <v>265</v>
      </c>
      <c r="F5" s="11">
        <f t="shared" ref="F5:I5" si="2">E5</f>
        <v>265</v>
      </c>
      <c r="G5" s="11">
        <f t="shared" si="2"/>
        <v>265</v>
      </c>
      <c r="H5" s="11">
        <f t="shared" si="2"/>
        <v>265</v>
      </c>
      <c r="I5" s="11">
        <f t="shared" si="2"/>
        <v>265</v>
      </c>
      <c r="J5" s="22" t="s">
        <v>6</v>
      </c>
      <c r="K5" s="1" t="s">
        <v>684</v>
      </c>
      <c r="M5" s="58">
        <v>43101</v>
      </c>
      <c r="N5" s="58">
        <v>43465</v>
      </c>
      <c r="O5" s="10">
        <f>ROUND(E44,0)</f>
        <v>59469</v>
      </c>
      <c r="P5" s="10">
        <f>ROUND(E56,0)</f>
        <v>638</v>
      </c>
      <c r="Q5" s="10">
        <f>ROUND(E80,0)</f>
        <v>728</v>
      </c>
      <c r="R5" s="10">
        <f t="shared" ref="R5:R8" si="3">O5+P5+Q5</f>
        <v>60835</v>
      </c>
    </row>
    <row r="6" spans="2:18" ht="15.5" x14ac:dyDescent="0.3">
      <c r="B6" s="105" t="s">
        <v>22</v>
      </c>
      <c r="C6" s="106"/>
      <c r="D6" s="86">
        <f>'Baseline Emission'!D5</f>
        <v>2E-3</v>
      </c>
      <c r="E6" s="86">
        <f t="shared" si="0"/>
        <v>2E-3</v>
      </c>
      <c r="F6" s="86">
        <f t="shared" ref="F6:I6" si="4">E6</f>
        <v>2E-3</v>
      </c>
      <c r="G6" s="86">
        <f t="shared" si="4"/>
        <v>2E-3</v>
      </c>
      <c r="H6" s="86">
        <f t="shared" si="4"/>
        <v>2E-3</v>
      </c>
      <c r="I6" s="86">
        <f t="shared" si="4"/>
        <v>2E-3</v>
      </c>
      <c r="J6" s="21" t="s">
        <v>23</v>
      </c>
      <c r="K6" s="1" t="s">
        <v>680</v>
      </c>
      <c r="M6" s="58">
        <v>43466</v>
      </c>
      <c r="N6" s="58">
        <v>43830</v>
      </c>
      <c r="O6" s="10">
        <f>ROUND(F44,0)</f>
        <v>91838</v>
      </c>
      <c r="P6" s="10">
        <f>ROUND(F56,0)</f>
        <v>986</v>
      </c>
      <c r="Q6" s="10">
        <f>ROUND(F80,0)</f>
        <v>1124</v>
      </c>
      <c r="R6" s="10">
        <f t="shared" si="3"/>
        <v>93948</v>
      </c>
    </row>
    <row r="7" spans="2:18" ht="15.5" x14ac:dyDescent="0.3">
      <c r="B7" s="105" t="s">
        <v>24</v>
      </c>
      <c r="C7" s="106"/>
      <c r="D7" s="86">
        <f>'Baseline Emission'!D6</f>
        <v>3.0000000000000001E-3</v>
      </c>
      <c r="E7" s="86">
        <f t="shared" si="0"/>
        <v>3.0000000000000001E-3</v>
      </c>
      <c r="F7" s="86">
        <f t="shared" ref="F7:I7" si="5">E7</f>
        <v>3.0000000000000001E-3</v>
      </c>
      <c r="G7" s="86">
        <f t="shared" si="5"/>
        <v>3.0000000000000001E-3</v>
      </c>
      <c r="H7" s="86">
        <f t="shared" si="5"/>
        <v>3.0000000000000001E-3</v>
      </c>
      <c r="I7" s="86">
        <f t="shared" si="5"/>
        <v>3.0000000000000001E-3</v>
      </c>
      <c r="J7" s="21" t="s">
        <v>23</v>
      </c>
      <c r="K7" s="1" t="s">
        <v>680</v>
      </c>
      <c r="M7" s="58">
        <v>43831</v>
      </c>
      <c r="N7" s="58">
        <v>44196</v>
      </c>
      <c r="O7" s="10">
        <f>ROUND(G44,0)</f>
        <v>91838</v>
      </c>
      <c r="P7" s="10">
        <f>ROUND(G56,0)</f>
        <v>986</v>
      </c>
      <c r="Q7" s="10">
        <f>ROUND(G80,0)</f>
        <v>1124</v>
      </c>
      <c r="R7" s="10">
        <f t="shared" si="3"/>
        <v>93948</v>
      </c>
    </row>
    <row r="8" spans="2:18" ht="15.5" x14ac:dyDescent="0.3">
      <c r="B8" s="101" t="s">
        <v>46</v>
      </c>
      <c r="C8" s="9" t="s">
        <v>43</v>
      </c>
      <c r="D8" s="87">
        <f>'Baseline Emission'!D7</f>
        <v>56</v>
      </c>
      <c r="E8" s="87">
        <f t="shared" si="0"/>
        <v>56</v>
      </c>
      <c r="F8" s="87">
        <f t="shared" ref="F8:I8" si="6">E8</f>
        <v>56</v>
      </c>
      <c r="G8" s="87">
        <f t="shared" si="6"/>
        <v>56</v>
      </c>
      <c r="H8" s="87">
        <f t="shared" si="6"/>
        <v>56</v>
      </c>
      <c r="I8" s="87">
        <f t="shared" si="6"/>
        <v>56</v>
      </c>
      <c r="J8" s="21" t="s">
        <v>21</v>
      </c>
      <c r="K8" s="1" t="s">
        <v>680</v>
      </c>
      <c r="M8" s="58">
        <v>44197</v>
      </c>
      <c r="N8" s="58">
        <v>44561</v>
      </c>
      <c r="O8" s="10">
        <f>ROUND(H44,0)</f>
        <v>91838</v>
      </c>
      <c r="P8" s="10">
        <f>ROUND(H56,0)</f>
        <v>986</v>
      </c>
      <c r="Q8" s="10">
        <f>ROUND(H80,0)</f>
        <v>1124</v>
      </c>
      <c r="R8" s="10">
        <f t="shared" si="3"/>
        <v>93948</v>
      </c>
    </row>
    <row r="9" spans="2:18" ht="15.5" x14ac:dyDescent="0.3">
      <c r="B9" s="102"/>
      <c r="C9" s="9" t="s">
        <v>44</v>
      </c>
      <c r="D9" s="87">
        <f>'Baseline Emission'!D8</f>
        <v>5</v>
      </c>
      <c r="E9" s="87">
        <f t="shared" si="0"/>
        <v>5</v>
      </c>
      <c r="F9" s="87">
        <f t="shared" ref="F9:I9" si="7">E9</f>
        <v>5</v>
      </c>
      <c r="G9" s="87">
        <f t="shared" si="7"/>
        <v>5</v>
      </c>
      <c r="H9" s="87">
        <f t="shared" si="7"/>
        <v>5</v>
      </c>
      <c r="I9" s="87">
        <f t="shared" si="7"/>
        <v>5</v>
      </c>
      <c r="J9" s="21" t="s">
        <v>21</v>
      </c>
      <c r="K9" s="1" t="s">
        <v>680</v>
      </c>
      <c r="M9" s="15" t="s">
        <v>16</v>
      </c>
      <c r="N9" s="15"/>
      <c r="O9" s="34">
        <f>SUM(O4:O8)</f>
        <v>345945</v>
      </c>
      <c r="P9" s="34">
        <f>SUM(P4:P8)</f>
        <v>3714</v>
      </c>
      <c r="Q9" s="34">
        <f>SUM(Q4:Q8)</f>
        <v>4234</v>
      </c>
      <c r="R9" s="34">
        <f>SUM(R4:R8)</f>
        <v>353893</v>
      </c>
    </row>
    <row r="10" spans="2:18" ht="15.5" x14ac:dyDescent="0.4">
      <c r="B10" s="101" t="s">
        <v>61</v>
      </c>
      <c r="C10" s="9" t="s">
        <v>43</v>
      </c>
      <c r="D10" s="86">
        <f>'Baseline Emission'!D9</f>
        <v>0.6</v>
      </c>
      <c r="E10" s="86">
        <f t="shared" si="0"/>
        <v>0.6</v>
      </c>
      <c r="F10" s="86">
        <f t="shared" ref="F10:I10" si="8">E10</f>
        <v>0.6</v>
      </c>
      <c r="G10" s="86">
        <f t="shared" si="8"/>
        <v>0.6</v>
      </c>
      <c r="H10" s="86">
        <f t="shared" si="8"/>
        <v>0.6</v>
      </c>
      <c r="I10" s="86">
        <f t="shared" si="8"/>
        <v>0.6</v>
      </c>
      <c r="J10" s="23" t="s">
        <v>28</v>
      </c>
      <c r="K10" s="1" t="s">
        <v>680</v>
      </c>
    </row>
    <row r="11" spans="2:18" ht="15.65" customHeight="1" x14ac:dyDescent="0.4">
      <c r="B11" s="102"/>
      <c r="C11" s="9" t="s">
        <v>44</v>
      </c>
      <c r="D11" s="86">
        <f>'Baseline Emission'!D10</f>
        <v>0.6</v>
      </c>
      <c r="E11" s="86">
        <f t="shared" si="0"/>
        <v>0.6</v>
      </c>
      <c r="F11" s="86">
        <f t="shared" ref="F11:I11" si="9">E11</f>
        <v>0.6</v>
      </c>
      <c r="G11" s="86">
        <f t="shared" si="9"/>
        <v>0.6</v>
      </c>
      <c r="H11" s="86">
        <f t="shared" si="9"/>
        <v>0.6</v>
      </c>
      <c r="I11" s="86">
        <f t="shared" si="9"/>
        <v>0.6</v>
      </c>
      <c r="J11" s="23" t="s">
        <v>28</v>
      </c>
      <c r="K11" s="1" t="s">
        <v>680</v>
      </c>
    </row>
    <row r="12" spans="2:18" ht="14" x14ac:dyDescent="0.3">
      <c r="B12" s="101" t="s">
        <v>79</v>
      </c>
      <c r="C12" s="9" t="s">
        <v>43</v>
      </c>
      <c r="D12" s="13">
        <v>32409</v>
      </c>
      <c r="E12" s="13">
        <v>84396</v>
      </c>
      <c r="F12" s="13">
        <v>130334</v>
      </c>
      <c r="G12" s="13">
        <v>130334</v>
      </c>
      <c r="H12" s="13">
        <v>130334</v>
      </c>
      <c r="I12" s="13">
        <v>130334</v>
      </c>
      <c r="J12" s="21" t="s">
        <v>4</v>
      </c>
      <c r="K12" s="80" t="s">
        <v>155</v>
      </c>
      <c r="L12" s="88"/>
      <c r="P12"/>
    </row>
    <row r="13" spans="2:18" ht="15.65" customHeight="1" x14ac:dyDescent="0.3">
      <c r="B13" s="102"/>
      <c r="C13" s="9" t="s">
        <v>44</v>
      </c>
      <c r="D13" s="13">
        <v>113323</v>
      </c>
      <c r="E13" s="13">
        <v>295108</v>
      </c>
      <c r="F13" s="13">
        <v>455742</v>
      </c>
      <c r="G13" s="13">
        <v>455742</v>
      </c>
      <c r="H13" s="13">
        <v>455742</v>
      </c>
      <c r="I13" s="13">
        <v>455742</v>
      </c>
      <c r="J13" s="21" t="s">
        <v>4</v>
      </c>
      <c r="K13" s="80" t="s">
        <v>155</v>
      </c>
    </row>
    <row r="14" spans="2:18" ht="14" x14ac:dyDescent="0.3">
      <c r="B14" s="101" t="s">
        <v>81</v>
      </c>
      <c r="C14" s="9" t="s">
        <v>43</v>
      </c>
      <c r="D14" s="3">
        <v>300</v>
      </c>
      <c r="E14" s="3">
        <v>300</v>
      </c>
      <c r="F14" s="3">
        <v>300</v>
      </c>
      <c r="G14" s="3">
        <v>300</v>
      </c>
      <c r="H14" s="3">
        <v>300</v>
      </c>
      <c r="I14" s="3">
        <v>300</v>
      </c>
      <c r="J14" s="21" t="s">
        <v>9</v>
      </c>
      <c r="K14" s="80" t="s">
        <v>55</v>
      </c>
      <c r="M14"/>
      <c r="N14"/>
    </row>
    <row r="15" spans="2:18" ht="15.65" customHeight="1" x14ac:dyDescent="0.3">
      <c r="B15" s="102"/>
      <c r="C15" s="9" t="s">
        <v>44</v>
      </c>
      <c r="D15" s="3">
        <v>45</v>
      </c>
      <c r="E15" s="3">
        <v>45</v>
      </c>
      <c r="F15" s="3">
        <v>45</v>
      </c>
      <c r="G15" s="3">
        <v>45</v>
      </c>
      <c r="H15" s="3">
        <v>45</v>
      </c>
      <c r="I15" s="3">
        <v>45</v>
      </c>
      <c r="J15" s="21" t="s">
        <v>9</v>
      </c>
      <c r="K15" s="80" t="s">
        <v>55</v>
      </c>
    </row>
    <row r="16" spans="2:18" ht="14" x14ac:dyDescent="0.3">
      <c r="B16" s="101" t="s">
        <v>52</v>
      </c>
      <c r="C16" s="9" t="s">
        <v>43</v>
      </c>
      <c r="D16" s="86">
        <f>'Baseline Emission'!D15</f>
        <v>0.38</v>
      </c>
      <c r="E16" s="86">
        <f>D16</f>
        <v>0.38</v>
      </c>
      <c r="F16" s="86">
        <f t="shared" ref="F16:I16" si="10">E16</f>
        <v>0.38</v>
      </c>
      <c r="G16" s="86">
        <f t="shared" si="10"/>
        <v>0.38</v>
      </c>
      <c r="H16" s="86">
        <f t="shared" si="10"/>
        <v>0.38</v>
      </c>
      <c r="I16" s="86">
        <f t="shared" si="10"/>
        <v>0.38</v>
      </c>
      <c r="J16" s="21" t="s">
        <v>8</v>
      </c>
      <c r="K16" s="1" t="s">
        <v>680</v>
      </c>
      <c r="M16"/>
      <c r="N16"/>
      <c r="O16"/>
    </row>
    <row r="17" spans="2:19" ht="15.65" customHeight="1" x14ac:dyDescent="0.3">
      <c r="B17" s="102"/>
      <c r="C17" s="9" t="s">
        <v>44</v>
      </c>
      <c r="D17" s="86">
        <f>'Baseline Emission'!D16</f>
        <v>0.32</v>
      </c>
      <c r="E17" s="86">
        <f>D17</f>
        <v>0.32</v>
      </c>
      <c r="F17" s="86">
        <f t="shared" ref="F17:I17" si="11">E17</f>
        <v>0.32</v>
      </c>
      <c r="G17" s="86">
        <f t="shared" si="11"/>
        <v>0.32</v>
      </c>
      <c r="H17" s="86">
        <f t="shared" si="11"/>
        <v>0.32</v>
      </c>
      <c r="I17" s="86">
        <f t="shared" si="11"/>
        <v>0.32</v>
      </c>
      <c r="J17" s="21" t="s">
        <v>8</v>
      </c>
      <c r="K17" s="1" t="s">
        <v>680</v>
      </c>
      <c r="M17"/>
      <c r="N17"/>
      <c r="S17"/>
    </row>
    <row r="18" spans="2:19" ht="14" x14ac:dyDescent="0.3">
      <c r="B18" s="101" t="s">
        <v>157</v>
      </c>
      <c r="C18" s="9" t="s">
        <v>43</v>
      </c>
      <c r="D18" s="11">
        <v>8</v>
      </c>
      <c r="E18" s="11">
        <v>8</v>
      </c>
      <c r="F18" s="11">
        <v>8</v>
      </c>
      <c r="G18" s="11">
        <v>8</v>
      </c>
      <c r="H18" s="11">
        <v>8</v>
      </c>
      <c r="I18" s="11">
        <v>8</v>
      </c>
      <c r="J18" s="21" t="s">
        <v>7</v>
      </c>
      <c r="K18" s="80" t="s">
        <v>155</v>
      </c>
      <c r="P18"/>
      <c r="S18"/>
    </row>
    <row r="19" spans="2:19" ht="15.65" customHeight="1" x14ac:dyDescent="0.25">
      <c r="B19" s="102"/>
      <c r="C19" s="9" t="s">
        <v>44</v>
      </c>
      <c r="D19" s="11">
        <v>8</v>
      </c>
      <c r="E19" s="11">
        <v>8</v>
      </c>
      <c r="F19" s="11">
        <v>8</v>
      </c>
      <c r="G19" s="11">
        <v>8</v>
      </c>
      <c r="H19" s="11">
        <v>8</v>
      </c>
      <c r="I19" s="11">
        <v>8</v>
      </c>
      <c r="J19" s="21" t="s">
        <v>7</v>
      </c>
      <c r="K19" s="80" t="s">
        <v>155</v>
      </c>
      <c r="M19" s="12" t="s">
        <v>50</v>
      </c>
      <c r="N19" s="12"/>
    </row>
    <row r="20" spans="2:19" ht="14" x14ac:dyDescent="0.3">
      <c r="B20" s="101" t="s">
        <v>158</v>
      </c>
      <c r="C20" s="9" t="s">
        <v>43</v>
      </c>
      <c r="D20" s="87">
        <v>60</v>
      </c>
      <c r="E20" s="87">
        <v>125</v>
      </c>
      <c r="F20" s="87">
        <v>125</v>
      </c>
      <c r="G20" s="87">
        <v>125</v>
      </c>
      <c r="H20" s="87">
        <v>125</v>
      </c>
      <c r="I20" s="87">
        <v>125</v>
      </c>
      <c r="J20" s="21" t="s">
        <v>5</v>
      </c>
      <c r="K20" s="80" t="s">
        <v>155</v>
      </c>
      <c r="M20"/>
      <c r="N20"/>
      <c r="P20"/>
    </row>
    <row r="21" spans="2:19" ht="15.65" customHeight="1" x14ac:dyDescent="0.3">
      <c r="B21" s="102"/>
      <c r="C21" s="9" t="s">
        <v>44</v>
      </c>
      <c r="D21" s="87">
        <v>60</v>
      </c>
      <c r="E21" s="87">
        <v>125</v>
      </c>
      <c r="F21" s="87">
        <v>125</v>
      </c>
      <c r="G21" s="87">
        <v>125</v>
      </c>
      <c r="H21" s="87">
        <v>125</v>
      </c>
      <c r="I21" s="87">
        <v>125</v>
      </c>
      <c r="J21" s="21" t="s">
        <v>5</v>
      </c>
      <c r="K21" s="80" t="s">
        <v>155</v>
      </c>
      <c r="M21"/>
      <c r="N21"/>
    </row>
    <row r="22" spans="2:19" ht="15.65" customHeight="1" x14ac:dyDescent="0.3">
      <c r="B22" s="101" t="s">
        <v>25</v>
      </c>
      <c r="C22" s="9" t="s">
        <v>43</v>
      </c>
      <c r="D22" s="86">
        <f>'Baseline Emission'!D21</f>
        <v>0.21199999999999999</v>
      </c>
      <c r="E22" s="86">
        <f>D22</f>
        <v>0.21199999999999999</v>
      </c>
      <c r="F22" s="86">
        <f t="shared" ref="F22:I22" si="12">E22</f>
        <v>0.21199999999999999</v>
      </c>
      <c r="G22" s="86">
        <f t="shared" si="12"/>
        <v>0.21199999999999999</v>
      </c>
      <c r="H22" s="86">
        <f t="shared" si="12"/>
        <v>0.21199999999999999</v>
      </c>
      <c r="I22" s="86">
        <f t="shared" si="12"/>
        <v>0.21199999999999999</v>
      </c>
      <c r="J22" s="21" t="s">
        <v>10</v>
      </c>
      <c r="K22" s="1" t="s">
        <v>680</v>
      </c>
    </row>
    <row r="23" spans="2:19" ht="13" x14ac:dyDescent="0.3">
      <c r="B23" s="102"/>
      <c r="C23" s="9" t="s">
        <v>44</v>
      </c>
      <c r="D23" s="86">
        <f>'Baseline Emission'!D22</f>
        <v>0.21199999999999999</v>
      </c>
      <c r="E23" s="86">
        <f>D23</f>
        <v>0.21199999999999999</v>
      </c>
      <c r="F23" s="86">
        <f t="shared" ref="F23:I23" si="13">E23</f>
        <v>0.21199999999999999</v>
      </c>
      <c r="G23" s="86">
        <f t="shared" si="13"/>
        <v>0.21199999999999999</v>
      </c>
      <c r="H23" s="86">
        <f t="shared" si="13"/>
        <v>0.21199999999999999</v>
      </c>
      <c r="I23" s="86">
        <f t="shared" si="13"/>
        <v>0.21199999999999999</v>
      </c>
      <c r="J23" s="21" t="s">
        <v>10</v>
      </c>
      <c r="K23" s="1" t="s">
        <v>681</v>
      </c>
    </row>
    <row r="24" spans="2:19" ht="15.65" customHeight="1" x14ac:dyDescent="0.3">
      <c r="B24" s="101" t="s">
        <v>117</v>
      </c>
      <c r="C24" s="9" t="s">
        <v>43</v>
      </c>
      <c r="D24" s="3">
        <v>8.1</v>
      </c>
      <c r="E24" s="3">
        <v>8.1</v>
      </c>
      <c r="F24" s="3">
        <v>8.1</v>
      </c>
      <c r="G24" s="3">
        <v>8.1</v>
      </c>
      <c r="H24" s="3">
        <v>8.1</v>
      </c>
      <c r="I24" s="3">
        <v>8.1</v>
      </c>
      <c r="J24" s="22" t="s">
        <v>114</v>
      </c>
      <c r="K24" s="80" t="s">
        <v>120</v>
      </c>
    </row>
    <row r="25" spans="2:19" ht="14" x14ac:dyDescent="0.3">
      <c r="B25" s="102"/>
      <c r="C25" s="9" t="s">
        <v>44</v>
      </c>
      <c r="D25" s="3">
        <v>1.8</v>
      </c>
      <c r="E25" s="3">
        <v>1.8</v>
      </c>
      <c r="F25" s="3">
        <v>1.8</v>
      </c>
      <c r="G25" s="3">
        <v>1.8</v>
      </c>
      <c r="H25" s="3">
        <v>1.8</v>
      </c>
      <c r="I25" s="3">
        <v>1.8</v>
      </c>
      <c r="J25" s="22" t="s">
        <v>114</v>
      </c>
      <c r="K25" s="80" t="s">
        <v>120</v>
      </c>
      <c r="M25"/>
      <c r="N25"/>
    </row>
    <row r="26" spans="2:19" ht="15" x14ac:dyDescent="0.3">
      <c r="B26" s="9" t="s">
        <v>115</v>
      </c>
      <c r="C26" s="52"/>
      <c r="D26" s="3">
        <v>1.38</v>
      </c>
      <c r="E26" s="3">
        <v>1.38</v>
      </c>
      <c r="F26" s="3">
        <v>1.38</v>
      </c>
      <c r="G26" s="3">
        <v>1.38</v>
      </c>
      <c r="H26" s="3">
        <v>1.38</v>
      </c>
      <c r="I26" s="3">
        <v>1.38</v>
      </c>
      <c r="J26" s="22" t="s">
        <v>116</v>
      </c>
      <c r="K26" s="80" t="s">
        <v>121</v>
      </c>
    </row>
    <row r="27" spans="2:19" ht="15" x14ac:dyDescent="0.3">
      <c r="B27" s="105" t="s">
        <v>26</v>
      </c>
      <c r="C27" s="106"/>
      <c r="D27" s="86">
        <f>'Baseline Emission'!D23</f>
        <v>5.0000000000000001E-3</v>
      </c>
      <c r="E27" s="86">
        <f>D27</f>
        <v>5.0000000000000001E-3</v>
      </c>
      <c r="F27" s="86">
        <f t="shared" ref="F27:I27" si="14">E27</f>
        <v>5.0000000000000001E-3</v>
      </c>
      <c r="G27" s="86">
        <f t="shared" si="14"/>
        <v>5.0000000000000001E-3</v>
      </c>
      <c r="H27" s="86">
        <f t="shared" si="14"/>
        <v>5.0000000000000001E-3</v>
      </c>
      <c r="I27" s="86">
        <f t="shared" si="14"/>
        <v>5.0000000000000001E-3</v>
      </c>
      <c r="J27" s="22" t="s">
        <v>12</v>
      </c>
      <c r="K27" s="1" t="s">
        <v>680</v>
      </c>
    </row>
    <row r="28" spans="2:19" ht="14" x14ac:dyDescent="0.3">
      <c r="S28"/>
    </row>
    <row r="29" spans="2:19" ht="13" x14ac:dyDescent="0.3">
      <c r="B29" s="53" t="s">
        <v>113</v>
      </c>
    </row>
    <row r="30" spans="2:19" ht="14" x14ac:dyDescent="0.3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S30"/>
    </row>
    <row r="31" spans="2:19" x14ac:dyDescent="0.25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S31" s="12" t="s">
        <v>50</v>
      </c>
    </row>
    <row r="32" spans="2:19" x14ac:dyDescent="0.3"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2:14" ht="14" customHeight="1" x14ac:dyDescent="0.3">
      <c r="B33" s="97" t="s">
        <v>0</v>
      </c>
      <c r="C33" s="98"/>
      <c r="D33" s="97" t="s">
        <v>1</v>
      </c>
      <c r="E33" s="107"/>
      <c r="F33" s="107"/>
      <c r="G33" s="107"/>
      <c r="H33" s="107"/>
      <c r="I33" s="98"/>
      <c r="J33" s="47" t="s">
        <v>2</v>
      </c>
      <c r="K33" s="47" t="s">
        <v>3</v>
      </c>
    </row>
    <row r="34" spans="2:14" ht="26" x14ac:dyDescent="0.3">
      <c r="B34" s="78"/>
      <c r="C34" s="77"/>
      <c r="D34" s="77">
        <v>2017</v>
      </c>
      <c r="E34" s="77">
        <v>2018</v>
      </c>
      <c r="F34" s="77">
        <v>2019</v>
      </c>
      <c r="G34" s="77">
        <v>2020</v>
      </c>
      <c r="H34" s="47">
        <v>2021</v>
      </c>
      <c r="I34" s="79" t="s">
        <v>92</v>
      </c>
      <c r="J34" s="47"/>
      <c r="K34" s="47"/>
    </row>
    <row r="35" spans="2:14" ht="15" x14ac:dyDescent="0.3">
      <c r="B35" s="99" t="s">
        <v>118</v>
      </c>
      <c r="C35" s="100"/>
      <c r="D35" s="13">
        <f>(D24*D12/1000*D20+D25*D13/1000*D21)/D26</f>
        <v>20282.360869565215</v>
      </c>
      <c r="E35" s="13">
        <f t="shared" ref="E35:I35" si="15">(E24*E12/1000*E20+E25*E13/1000*E21)/E26</f>
        <v>110036.41304347827</v>
      </c>
      <c r="F35" s="13">
        <f t="shared" si="15"/>
        <v>169931.25</v>
      </c>
      <c r="G35" s="13">
        <f t="shared" si="15"/>
        <v>169931.25</v>
      </c>
      <c r="H35" s="13">
        <f t="shared" si="15"/>
        <v>169931.25</v>
      </c>
      <c r="I35" s="13">
        <f t="shared" si="15"/>
        <v>169931.25</v>
      </c>
      <c r="J35" s="8" t="s">
        <v>119</v>
      </c>
      <c r="K35" s="3" t="s">
        <v>66</v>
      </c>
    </row>
    <row r="36" spans="2:14" ht="13" x14ac:dyDescent="0.3">
      <c r="B36" s="54"/>
      <c r="C36" s="54"/>
      <c r="D36" s="5"/>
      <c r="E36" s="5"/>
      <c r="F36" s="5"/>
      <c r="G36" s="5"/>
      <c r="H36" s="5"/>
      <c r="I36" s="55"/>
      <c r="J36" s="56"/>
      <c r="K36" s="2"/>
    </row>
    <row r="37" spans="2:14" ht="13" x14ac:dyDescent="0.3">
      <c r="B37" s="54"/>
      <c r="C37" s="54"/>
      <c r="D37" s="5"/>
      <c r="E37" s="5"/>
      <c r="F37" s="5"/>
      <c r="G37" s="5"/>
      <c r="H37" s="5"/>
      <c r="I37" s="55"/>
      <c r="J37" s="56"/>
      <c r="K37" s="2"/>
    </row>
    <row r="38" spans="2:14" ht="13" x14ac:dyDescent="0.3">
      <c r="B38" s="6" t="s">
        <v>77</v>
      </c>
      <c r="C38" s="6"/>
      <c r="D38" s="6"/>
      <c r="E38" s="6"/>
      <c r="F38" s="6"/>
      <c r="G38" s="6"/>
    </row>
    <row r="39" spans="2:14" x14ac:dyDescent="0.3">
      <c r="B39" s="103"/>
      <c r="C39" s="103"/>
      <c r="D39" s="103"/>
      <c r="E39" s="103"/>
      <c r="F39" s="103"/>
      <c r="G39" s="103"/>
      <c r="H39" s="103"/>
      <c r="I39" s="103"/>
      <c r="J39" s="103"/>
      <c r="K39" s="103"/>
    </row>
    <row r="40" spans="2:14" x14ac:dyDescent="0.3">
      <c r="B40" s="103"/>
      <c r="C40" s="103"/>
      <c r="D40" s="103"/>
      <c r="E40" s="103"/>
      <c r="F40" s="103"/>
      <c r="G40" s="103"/>
      <c r="H40" s="103"/>
      <c r="I40" s="103"/>
      <c r="J40" s="103"/>
      <c r="K40" s="103"/>
    </row>
    <row r="41" spans="2:14" x14ac:dyDescent="0.3"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2:14" ht="14" customHeight="1" x14ac:dyDescent="0.3">
      <c r="B42" s="97" t="s">
        <v>0</v>
      </c>
      <c r="C42" s="98"/>
      <c r="D42" s="97" t="s">
        <v>1</v>
      </c>
      <c r="E42" s="107"/>
      <c r="F42" s="107"/>
      <c r="G42" s="107"/>
      <c r="H42" s="107"/>
      <c r="I42" s="98"/>
      <c r="J42" s="47" t="s">
        <v>2</v>
      </c>
      <c r="K42" s="47" t="s">
        <v>3</v>
      </c>
    </row>
    <row r="43" spans="2:14" ht="26" x14ac:dyDescent="0.3">
      <c r="B43" s="78"/>
      <c r="C43" s="77"/>
      <c r="D43" s="77">
        <v>2017</v>
      </c>
      <c r="E43" s="77">
        <v>2018</v>
      </c>
      <c r="F43" s="77">
        <v>2019</v>
      </c>
      <c r="G43" s="77">
        <v>2020</v>
      </c>
      <c r="H43" s="47">
        <v>2021</v>
      </c>
      <c r="I43" s="79" t="s">
        <v>92</v>
      </c>
      <c r="J43" s="47"/>
      <c r="K43" s="47"/>
      <c r="M43" s="2"/>
      <c r="N43" s="2"/>
    </row>
    <row r="44" spans="2:14" ht="15.5" x14ac:dyDescent="0.3">
      <c r="B44" s="99" t="s">
        <v>78</v>
      </c>
      <c r="C44" s="100"/>
      <c r="D44" s="16">
        <f t="shared" ref="D44:H44" si="16">(D4*D12*D8*D20+D4*D13*D9*D21)/(1000*365)</f>
        <v>10961.512109589041</v>
      </c>
      <c r="E44" s="16">
        <f t="shared" si="16"/>
        <v>59468.509589041096</v>
      </c>
      <c r="F44" s="16">
        <f t="shared" si="16"/>
        <v>91838.216438356161</v>
      </c>
      <c r="G44" s="16">
        <f t="shared" si="16"/>
        <v>91838.216438356161</v>
      </c>
      <c r="H44" s="16">
        <f t="shared" si="16"/>
        <v>91838.216438356161</v>
      </c>
      <c r="I44" s="16">
        <f>(I4*I12*I8*I20+I4*I13*I9*I21)/(1000*365)</f>
        <v>91838.216438356161</v>
      </c>
      <c r="J44" s="8" t="s">
        <v>18</v>
      </c>
      <c r="K44" s="3" t="s">
        <v>66</v>
      </c>
      <c r="M44" s="2"/>
      <c r="N44" s="2"/>
    </row>
    <row r="45" spans="2:14" x14ac:dyDescent="0.3">
      <c r="B45" s="7"/>
      <c r="C45" s="7"/>
      <c r="D45" s="7"/>
      <c r="E45" s="7"/>
      <c r="F45" s="7"/>
      <c r="G45" s="7"/>
      <c r="M45" s="2"/>
      <c r="N45" s="2"/>
    </row>
    <row r="46" spans="2:14" ht="14" x14ac:dyDescent="0.3">
      <c r="B46" s="6" t="s">
        <v>84</v>
      </c>
      <c r="C46" s="6"/>
      <c r="D46" s="6"/>
      <c r="E46" s="6"/>
      <c r="F46" s="6"/>
      <c r="G46" s="6"/>
      <c r="K46"/>
      <c r="M46" s="2"/>
      <c r="N46" s="2"/>
    </row>
    <row r="47" spans="2:14" x14ac:dyDescent="0.3"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M47" s="2"/>
      <c r="N47" s="2"/>
    </row>
    <row r="48" spans="2:14" x14ac:dyDescent="0.3"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M48" s="2"/>
      <c r="N48" s="2"/>
    </row>
    <row r="49" spans="2:19" x14ac:dyDescent="0.3"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M49" s="2"/>
      <c r="N49" s="2"/>
    </row>
    <row r="50" spans="2:19" ht="15" x14ac:dyDescent="0.3">
      <c r="B50" s="6" t="s">
        <v>85</v>
      </c>
      <c r="C50" s="6"/>
      <c r="D50" s="6"/>
      <c r="E50" s="6"/>
      <c r="F50" s="6"/>
      <c r="G50" s="6"/>
      <c r="J50"/>
    </row>
    <row r="51" spans="2:19" x14ac:dyDescent="0.3">
      <c r="B51" s="103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2:19" x14ac:dyDescent="0.3"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  <row r="53" spans="2:19" x14ac:dyDescent="0.3">
      <c r="B53" s="104"/>
      <c r="C53" s="104"/>
      <c r="D53" s="104"/>
      <c r="E53" s="104"/>
      <c r="F53" s="104"/>
      <c r="G53" s="104"/>
      <c r="H53" s="104"/>
      <c r="I53" s="104"/>
      <c r="J53" s="104"/>
      <c r="K53" s="104"/>
    </row>
    <row r="54" spans="2:19" ht="14" x14ac:dyDescent="0.3">
      <c r="B54" s="97" t="s">
        <v>0</v>
      </c>
      <c r="C54" s="98"/>
      <c r="D54" s="97" t="s">
        <v>1</v>
      </c>
      <c r="E54" s="107"/>
      <c r="F54" s="107"/>
      <c r="G54" s="107"/>
      <c r="H54" s="107"/>
      <c r="I54" s="98"/>
      <c r="J54" s="47" t="s">
        <v>2</v>
      </c>
      <c r="K54" s="47" t="s">
        <v>3</v>
      </c>
      <c r="S54"/>
    </row>
    <row r="55" spans="2:19" ht="26" x14ac:dyDescent="0.3">
      <c r="B55" s="78"/>
      <c r="C55" s="77"/>
      <c r="D55" s="77">
        <v>2017</v>
      </c>
      <c r="E55" s="77">
        <v>2018</v>
      </c>
      <c r="F55" s="77">
        <v>2019</v>
      </c>
      <c r="G55" s="77">
        <v>2020</v>
      </c>
      <c r="H55" s="47">
        <v>2021</v>
      </c>
      <c r="I55" s="79" t="s">
        <v>92</v>
      </c>
      <c r="J55" s="47"/>
      <c r="K55" s="47"/>
    </row>
    <row r="56" spans="2:19" ht="15.5" x14ac:dyDescent="0.3">
      <c r="B56" s="99" t="s">
        <v>683</v>
      </c>
      <c r="C56" s="100"/>
      <c r="D56" s="18">
        <f>D5*(D71+D72)</f>
        <v>117.67877227637898</v>
      </c>
      <c r="E56" s="18">
        <f t="shared" ref="E56:I56" si="17">E5*(E71+E72)</f>
        <v>638.43339359070876</v>
      </c>
      <c r="F56" s="18">
        <f t="shared" si="17"/>
        <v>985.9440542625772</v>
      </c>
      <c r="G56" s="18">
        <f t="shared" si="17"/>
        <v>985.9440542625772</v>
      </c>
      <c r="H56" s="18">
        <f t="shared" si="17"/>
        <v>985.9440542625772</v>
      </c>
      <c r="I56" s="18">
        <f t="shared" si="17"/>
        <v>985.9440542625772</v>
      </c>
      <c r="J56" s="8" t="s">
        <v>18</v>
      </c>
      <c r="K56" s="3" t="s">
        <v>66</v>
      </c>
    </row>
    <row r="57" spans="2:19" x14ac:dyDescent="0.3">
      <c r="B57" s="7"/>
      <c r="C57" s="7"/>
      <c r="D57" s="7"/>
      <c r="E57" s="7"/>
      <c r="F57" s="7"/>
      <c r="G57" s="7"/>
    </row>
    <row r="58" spans="2:19" ht="15" x14ac:dyDescent="0.3">
      <c r="B58" s="6" t="s">
        <v>86</v>
      </c>
      <c r="C58" s="6"/>
      <c r="D58" s="6"/>
      <c r="E58" s="6"/>
      <c r="F58" s="6"/>
      <c r="G58" s="6"/>
    </row>
    <row r="59" spans="2:19" x14ac:dyDescent="0.3"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2:19" x14ac:dyDescent="0.3"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2:19" x14ac:dyDescent="0.3">
      <c r="B61" s="103"/>
      <c r="C61" s="103"/>
      <c r="D61" s="103"/>
      <c r="E61" s="103"/>
      <c r="F61" s="103"/>
      <c r="G61" s="103"/>
      <c r="H61" s="103"/>
      <c r="I61" s="103"/>
      <c r="J61" s="103"/>
      <c r="K61" s="103"/>
    </row>
    <row r="62" spans="2:19" ht="14" x14ac:dyDescent="0.3"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S62"/>
    </row>
    <row r="63" spans="2:19" x14ac:dyDescent="0.3">
      <c r="B63" s="103"/>
      <c r="C63" s="103"/>
      <c r="D63" s="103"/>
      <c r="E63" s="103"/>
      <c r="F63" s="103"/>
      <c r="G63" s="103"/>
      <c r="H63" s="103"/>
      <c r="I63" s="103"/>
      <c r="J63" s="103"/>
      <c r="K63" s="103"/>
    </row>
    <row r="64" spans="2:19" x14ac:dyDescent="0.3">
      <c r="B64" s="103"/>
      <c r="C64" s="103"/>
      <c r="D64" s="103"/>
      <c r="E64" s="103"/>
      <c r="F64" s="103"/>
      <c r="G64" s="103"/>
      <c r="H64" s="103"/>
      <c r="I64" s="103"/>
      <c r="J64" s="103"/>
      <c r="K64" s="103"/>
    </row>
    <row r="65" spans="2:12" ht="15" x14ac:dyDescent="0.3">
      <c r="B65" s="6" t="s">
        <v>87</v>
      </c>
      <c r="C65" s="6"/>
      <c r="D65" s="6"/>
      <c r="E65" s="6"/>
      <c r="F65" s="6"/>
      <c r="G65" s="6"/>
    </row>
    <row r="66" spans="2:12" x14ac:dyDescent="0.3">
      <c r="B66" s="103"/>
      <c r="C66" s="103"/>
      <c r="D66" s="103"/>
      <c r="E66" s="103"/>
      <c r="F66" s="103"/>
      <c r="G66" s="103"/>
      <c r="H66" s="103"/>
      <c r="I66" s="103"/>
      <c r="J66" s="103"/>
      <c r="K66" s="103"/>
    </row>
    <row r="67" spans="2:12" x14ac:dyDescent="0.3">
      <c r="B67" s="103"/>
      <c r="C67" s="103"/>
      <c r="D67" s="103"/>
      <c r="E67" s="103"/>
      <c r="F67" s="103"/>
      <c r="G67" s="103"/>
      <c r="H67" s="103"/>
      <c r="I67" s="103"/>
      <c r="J67" s="103"/>
      <c r="K67" s="103"/>
    </row>
    <row r="68" spans="2:12" x14ac:dyDescent="0.3">
      <c r="B68" s="104"/>
      <c r="C68" s="104"/>
      <c r="D68" s="104"/>
      <c r="E68" s="104"/>
      <c r="F68" s="104"/>
      <c r="G68" s="104"/>
      <c r="H68" s="104"/>
      <c r="I68" s="104"/>
      <c r="J68" s="104"/>
      <c r="K68" s="104"/>
    </row>
    <row r="69" spans="2:12" ht="14" customHeight="1" x14ac:dyDescent="0.3">
      <c r="B69" s="97" t="s">
        <v>0</v>
      </c>
      <c r="C69" s="98"/>
      <c r="D69" s="97" t="s">
        <v>1</v>
      </c>
      <c r="E69" s="107"/>
      <c r="F69" s="107"/>
      <c r="G69" s="107"/>
      <c r="H69" s="107"/>
      <c r="I69" s="98"/>
      <c r="J69" s="47" t="s">
        <v>2</v>
      </c>
      <c r="K69" s="47" t="s">
        <v>3</v>
      </c>
    </row>
    <row r="70" spans="2:12" ht="26" x14ac:dyDescent="0.3">
      <c r="B70" s="78"/>
      <c r="C70" s="77"/>
      <c r="D70" s="77">
        <v>2017</v>
      </c>
      <c r="E70" s="77">
        <v>2018</v>
      </c>
      <c r="F70" s="77">
        <v>2019</v>
      </c>
      <c r="G70" s="77">
        <v>2020</v>
      </c>
      <c r="H70" s="47">
        <v>2021</v>
      </c>
      <c r="I70" s="79" t="s">
        <v>92</v>
      </c>
      <c r="J70" s="47"/>
      <c r="K70" s="47"/>
    </row>
    <row r="71" spans="2:12" ht="15" x14ac:dyDescent="0.3">
      <c r="B71" s="99" t="s">
        <v>90</v>
      </c>
      <c r="C71" s="100"/>
      <c r="D71" s="17">
        <f t="shared" ref="D71:I71" si="18">D12*D14*D16*D18*D20*(1-D22)/(1000*24*1000)*D6*44/28+D13*D15*D17*D19*D21*(1-D23)/(1000*24*1000)*D7*44/28</f>
        <v>0.30424198554514287</v>
      </c>
      <c r="E71" s="17">
        <f t="shared" si="18"/>
        <v>1.6505808678857146</v>
      </c>
      <c r="F71" s="17">
        <f t="shared" si="18"/>
        <v>2.5490217921142859</v>
      </c>
      <c r="G71" s="17">
        <f t="shared" si="18"/>
        <v>2.5490217921142859</v>
      </c>
      <c r="H71" s="17">
        <f t="shared" si="18"/>
        <v>2.5490217921142859</v>
      </c>
      <c r="I71" s="17">
        <f t="shared" si="18"/>
        <v>2.5490217921142859</v>
      </c>
      <c r="J71" s="3" t="s">
        <v>11</v>
      </c>
      <c r="K71" s="3" t="s">
        <v>66</v>
      </c>
    </row>
    <row r="72" spans="2:12" ht="15" x14ac:dyDescent="0.3">
      <c r="B72" s="99" t="s">
        <v>89</v>
      </c>
      <c r="C72" s="100"/>
      <c r="D72" s="17">
        <f t="shared" ref="D72:I72" si="19">D12*D14*D16*D18*D20*(1-D22)*D22*D27/(1000*24*1000)*44/28+D13*D15*D17*D19*D21*(1-D23)*D23*D27/(1000*24*1000)*44/28</f>
        <v>0.13982885323364572</v>
      </c>
      <c r="E72" s="17">
        <f t="shared" si="19"/>
        <v>0.75860174943771441</v>
      </c>
      <c r="F72" s="17">
        <f t="shared" si="19"/>
        <v>1.1715218088765715</v>
      </c>
      <c r="G72" s="17">
        <f t="shared" si="19"/>
        <v>1.1715218088765715</v>
      </c>
      <c r="H72" s="17">
        <f t="shared" si="19"/>
        <v>1.1715218088765715</v>
      </c>
      <c r="I72" s="17">
        <f t="shared" si="19"/>
        <v>1.1715218088765715</v>
      </c>
      <c r="J72" s="3" t="s">
        <v>11</v>
      </c>
      <c r="K72" s="3" t="s">
        <v>66</v>
      </c>
    </row>
    <row r="73" spans="2:12" ht="13" x14ac:dyDescent="0.3">
      <c r="B73" s="20"/>
      <c r="C73" s="20"/>
      <c r="D73" s="20"/>
      <c r="E73" s="20"/>
      <c r="F73" s="20"/>
      <c r="G73" s="20"/>
      <c r="H73" s="20"/>
      <c r="I73" s="20"/>
      <c r="J73" s="20"/>
      <c r="K73" s="20"/>
    </row>
    <row r="74" spans="2:12" ht="15" x14ac:dyDescent="0.3">
      <c r="B74" s="6" t="s">
        <v>88</v>
      </c>
      <c r="C74" s="6"/>
      <c r="D74" s="6"/>
      <c r="E74" s="6"/>
      <c r="F74" s="6"/>
      <c r="G74" s="6"/>
    </row>
    <row r="75" spans="2:12" ht="14" x14ac:dyDescent="0.3"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/>
    </row>
    <row r="76" spans="2:12" x14ac:dyDescent="0.3">
      <c r="B76" s="103"/>
      <c r="C76" s="103"/>
      <c r="D76" s="103"/>
      <c r="E76" s="103"/>
      <c r="F76" s="103"/>
      <c r="G76" s="103"/>
      <c r="H76" s="103"/>
      <c r="I76" s="103"/>
      <c r="J76" s="103"/>
      <c r="K76" s="103"/>
    </row>
    <row r="77" spans="2:12" ht="14" x14ac:dyDescent="0.3"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/>
    </row>
    <row r="78" spans="2:12" ht="14" customHeight="1" x14ac:dyDescent="0.3">
      <c r="B78" s="97" t="s">
        <v>0</v>
      </c>
      <c r="C78" s="98"/>
      <c r="D78" s="97" t="s">
        <v>1</v>
      </c>
      <c r="E78" s="107"/>
      <c r="F78" s="107"/>
      <c r="G78" s="107"/>
      <c r="H78" s="107"/>
      <c r="I78" s="98"/>
      <c r="J78" s="47" t="s">
        <v>2</v>
      </c>
      <c r="K78" s="47" t="s">
        <v>3</v>
      </c>
      <c r="L78" s="2"/>
    </row>
    <row r="79" spans="2:12" ht="26" x14ac:dyDescent="0.3">
      <c r="B79" s="78"/>
      <c r="C79" s="77"/>
      <c r="D79" s="77">
        <v>2017</v>
      </c>
      <c r="E79" s="77">
        <v>2018</v>
      </c>
      <c r="F79" s="77">
        <v>2019</v>
      </c>
      <c r="G79" s="77">
        <v>2020</v>
      </c>
      <c r="H79" s="47">
        <v>2021</v>
      </c>
      <c r="I79" s="79" t="s">
        <v>92</v>
      </c>
      <c r="J79" s="47"/>
      <c r="K79" s="47"/>
      <c r="L79" s="2"/>
    </row>
    <row r="80" spans="2:12" ht="15.5" x14ac:dyDescent="0.3">
      <c r="B80" s="99" t="s">
        <v>91</v>
      </c>
      <c r="C80" s="100"/>
      <c r="D80" s="18">
        <f t="shared" ref="D80:I80" si="20">D4*D10*D12*D18*D20/(24*365*1000)+D4*D11*D13*D19*D21/(24*365*1000)</f>
        <v>134.15329315068496</v>
      </c>
      <c r="E80" s="18">
        <f t="shared" si="20"/>
        <v>727.8158904109589</v>
      </c>
      <c r="F80" s="18">
        <f t="shared" si="20"/>
        <v>1123.9813698630137</v>
      </c>
      <c r="G80" s="18">
        <f>G4*G10*G12*G18*G20/(24*365*1000)+G4*G11*G13*G19*G21/(24*365*1000)</f>
        <v>1123.9813698630137</v>
      </c>
      <c r="H80" s="18">
        <f t="shared" si="20"/>
        <v>1123.9813698630137</v>
      </c>
      <c r="I80" s="18">
        <f t="shared" si="20"/>
        <v>1123.9813698630137</v>
      </c>
      <c r="J80" s="8" t="s">
        <v>18</v>
      </c>
      <c r="K80" s="3" t="s">
        <v>66</v>
      </c>
      <c r="L80" s="2"/>
    </row>
    <row r="81" spans="2:12" x14ac:dyDescent="0.3">
      <c r="B81" s="7"/>
      <c r="C81" s="7"/>
      <c r="D81" s="7"/>
      <c r="E81" s="7"/>
      <c r="F81" s="7"/>
      <c r="G81" s="7"/>
      <c r="L81" s="2"/>
    </row>
    <row r="82" spans="2:12" x14ac:dyDescent="0.3">
      <c r="L82" s="2"/>
    </row>
    <row r="83" spans="2:12" x14ac:dyDescent="0.3">
      <c r="L83" s="2"/>
    </row>
    <row r="84" spans="2:12" x14ac:dyDescent="0.3">
      <c r="L84" s="2"/>
    </row>
  </sheetData>
  <mergeCells count="39">
    <mergeCell ref="B7:C7"/>
    <mergeCell ref="B24:B25"/>
    <mergeCell ref="B33:C33"/>
    <mergeCell ref="B35:C35"/>
    <mergeCell ref="B30:K32"/>
    <mergeCell ref="D33:I33"/>
    <mergeCell ref="B2:C2"/>
    <mergeCell ref="D2:H2"/>
    <mergeCell ref="B4:C4"/>
    <mergeCell ref="B5:C5"/>
    <mergeCell ref="B6:C6"/>
    <mergeCell ref="B44:C44"/>
    <mergeCell ref="B8:B9"/>
    <mergeCell ref="B10:B11"/>
    <mergeCell ref="B12:B13"/>
    <mergeCell ref="B14:B15"/>
    <mergeCell ref="B16:B17"/>
    <mergeCell ref="B18:B19"/>
    <mergeCell ref="B20:B21"/>
    <mergeCell ref="B22:B23"/>
    <mergeCell ref="B27:C27"/>
    <mergeCell ref="B39:K41"/>
    <mergeCell ref="B42:C42"/>
    <mergeCell ref="D42:I42"/>
    <mergeCell ref="B80:C80"/>
    <mergeCell ref="B47:K49"/>
    <mergeCell ref="B51:K53"/>
    <mergeCell ref="B54:C54"/>
    <mergeCell ref="B56:C56"/>
    <mergeCell ref="B59:K64"/>
    <mergeCell ref="B66:K68"/>
    <mergeCell ref="B69:C69"/>
    <mergeCell ref="B71:C71"/>
    <mergeCell ref="B72:C72"/>
    <mergeCell ref="B75:K77"/>
    <mergeCell ref="B78:C78"/>
    <mergeCell ref="D54:I54"/>
    <mergeCell ref="D69:I69"/>
    <mergeCell ref="D78:I78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209D-B8D0-48C1-868C-EDC06600FABD}">
  <dimension ref="B2:J31"/>
  <sheetViews>
    <sheetView zoomScaleNormal="100" workbookViewId="0">
      <selection activeCell="M25" sqref="M25"/>
    </sheetView>
  </sheetViews>
  <sheetFormatPr defaultColWidth="8.9140625" defaultRowHeight="12.5" x14ac:dyDescent="0.25"/>
  <cols>
    <col min="1" max="1" width="2.75" style="12" customWidth="1"/>
    <col min="2" max="3" width="12.33203125" style="12" customWidth="1"/>
    <col min="4" max="4" width="17.08203125" style="12" customWidth="1"/>
    <col min="5" max="5" width="12.33203125" style="12" customWidth="1"/>
    <col min="6" max="16384" width="8.9140625" style="12"/>
  </cols>
  <sheetData>
    <row r="2" spans="2:10" ht="15" x14ac:dyDescent="0.25">
      <c r="B2" s="115" t="s">
        <v>15</v>
      </c>
      <c r="C2" s="112" t="s">
        <v>678</v>
      </c>
      <c r="D2" s="114" t="s">
        <v>131</v>
      </c>
      <c r="E2" s="114"/>
      <c r="F2" s="114"/>
    </row>
    <row r="3" spans="2:10" ht="13" x14ac:dyDescent="0.25">
      <c r="B3" s="116"/>
      <c r="C3" s="113"/>
      <c r="D3" s="47" t="s">
        <v>132</v>
      </c>
      <c r="E3" s="47" t="s">
        <v>133</v>
      </c>
      <c r="F3" s="47" t="s">
        <v>134</v>
      </c>
    </row>
    <row r="4" spans="2:10" x14ac:dyDescent="0.25">
      <c r="B4" s="3" t="s">
        <v>135</v>
      </c>
      <c r="C4" s="24">
        <v>52009.9</v>
      </c>
      <c r="D4" s="61">
        <f>E4-1.96*F4</f>
        <v>0.77378191291340181</v>
      </c>
      <c r="E4" s="61">
        <f>strata1!G25</f>
        <v>3.25</v>
      </c>
      <c r="F4" s="61">
        <f>strata1!G27</f>
        <v>1.2633765750441828</v>
      </c>
      <c r="H4" s="94"/>
      <c r="I4" s="94"/>
      <c r="J4" s="94"/>
    </row>
    <row r="5" spans="2:10" x14ac:dyDescent="0.25">
      <c r="B5" s="3" t="s">
        <v>35</v>
      </c>
      <c r="C5" s="24">
        <v>26892.34</v>
      </c>
      <c r="D5" s="61">
        <f t="shared" ref="D5:D21" si="0">E5-1.96*F5</f>
        <v>1.8652137248052538</v>
      </c>
      <c r="E5" s="61">
        <f>strata2!G25</f>
        <v>3</v>
      </c>
      <c r="F5" s="61">
        <f>strata2!G27</f>
        <v>0.57897258938507457</v>
      </c>
      <c r="H5" s="94"/>
      <c r="I5" s="94"/>
      <c r="J5" s="94"/>
    </row>
    <row r="6" spans="2:10" x14ac:dyDescent="0.25">
      <c r="B6" s="3" t="s">
        <v>36</v>
      </c>
      <c r="C6" s="24">
        <v>7443.17</v>
      </c>
      <c r="D6" s="61">
        <f t="shared" si="0"/>
        <v>0.82842131745135994</v>
      </c>
      <c r="E6" s="61">
        <f>strata3!G25</f>
        <v>2.87</v>
      </c>
      <c r="F6" s="61">
        <f>strata3!G27</f>
        <v>1.0416217768105307</v>
      </c>
      <c r="H6" s="94"/>
      <c r="I6" s="94"/>
      <c r="J6" s="94"/>
    </row>
    <row r="7" spans="2:10" x14ac:dyDescent="0.25">
      <c r="B7" s="3" t="s">
        <v>663</v>
      </c>
      <c r="C7" s="24">
        <v>7803.22</v>
      </c>
      <c r="D7" s="61">
        <f t="shared" si="0"/>
        <v>1.89998197982248</v>
      </c>
      <c r="E7" s="61">
        <f>strata4!G25</f>
        <v>3.03</v>
      </c>
      <c r="F7" s="61">
        <f>strata4!G27</f>
        <v>0.57653980621302037</v>
      </c>
      <c r="H7" s="94"/>
      <c r="I7" s="94"/>
      <c r="J7" s="94"/>
    </row>
    <row r="8" spans="2:10" x14ac:dyDescent="0.25">
      <c r="B8" s="3" t="s">
        <v>664</v>
      </c>
      <c r="C8" s="24">
        <v>3374.91</v>
      </c>
      <c r="D8" s="61">
        <f t="shared" si="0"/>
        <v>1.0948459879522243</v>
      </c>
      <c r="E8" s="61">
        <f>strata5!G25</f>
        <v>4.2300000000000004</v>
      </c>
      <c r="F8" s="61">
        <f>strata5!G27</f>
        <v>1.5995683734937634</v>
      </c>
      <c r="H8" s="94"/>
      <c r="I8" s="94"/>
      <c r="J8" s="94"/>
    </row>
    <row r="9" spans="2:10" x14ac:dyDescent="0.25">
      <c r="B9" s="3" t="s">
        <v>665</v>
      </c>
      <c r="C9" s="24">
        <v>4383.18</v>
      </c>
      <c r="D9" s="61">
        <f t="shared" si="0"/>
        <v>1.4512123391909224</v>
      </c>
      <c r="E9" s="61">
        <f>strata6!G25</f>
        <v>6.52</v>
      </c>
      <c r="F9" s="61">
        <f>strata6!G27</f>
        <v>2.5861161534740189</v>
      </c>
      <c r="H9" s="94"/>
      <c r="I9" s="94"/>
      <c r="J9" s="94"/>
    </row>
    <row r="10" spans="2:10" x14ac:dyDescent="0.25">
      <c r="B10" s="3" t="s">
        <v>666</v>
      </c>
      <c r="C10" s="24">
        <v>11692.04</v>
      </c>
      <c r="D10" s="61">
        <f t="shared" si="0"/>
        <v>2.3866053242295724</v>
      </c>
      <c r="E10" s="61">
        <f>Sheet7!G25</f>
        <v>8.73</v>
      </c>
      <c r="F10" s="61">
        <f>Sheet7!G27</f>
        <v>3.2364258549849123</v>
      </c>
      <c r="H10" s="94"/>
      <c r="I10" s="94"/>
      <c r="J10" s="94"/>
    </row>
    <row r="11" spans="2:10" x14ac:dyDescent="0.25">
      <c r="B11" s="3" t="s">
        <v>667</v>
      </c>
      <c r="C11" s="24">
        <v>12576.56</v>
      </c>
      <c r="D11" s="61">
        <f t="shared" si="0"/>
        <v>3.5425528067373984</v>
      </c>
      <c r="E11" s="61">
        <f>strata8!G34</f>
        <v>7.32</v>
      </c>
      <c r="F11" s="61">
        <f>strata8!G36</f>
        <v>1.9272689761543889</v>
      </c>
      <c r="H11" s="94"/>
      <c r="I11" s="94"/>
      <c r="J11" s="94"/>
    </row>
    <row r="12" spans="2:10" x14ac:dyDescent="0.25">
      <c r="B12" s="3" t="s">
        <v>668</v>
      </c>
      <c r="C12" s="24">
        <v>14805.05</v>
      </c>
      <c r="D12" s="61">
        <f t="shared" si="0"/>
        <v>3.2828048923865025</v>
      </c>
      <c r="E12" s="61">
        <f>strata9!G25</f>
        <v>7.2</v>
      </c>
      <c r="F12" s="61">
        <f>strata9!G27</f>
        <v>1.9985689324558662</v>
      </c>
      <c r="H12" s="94"/>
      <c r="I12" s="94"/>
      <c r="J12" s="94"/>
    </row>
    <row r="13" spans="2:10" x14ac:dyDescent="0.25">
      <c r="B13" s="3" t="s">
        <v>669</v>
      </c>
      <c r="C13" s="24">
        <v>21153.68</v>
      </c>
      <c r="D13" s="61">
        <f t="shared" si="0"/>
        <v>5.3185996692796946</v>
      </c>
      <c r="E13" s="61">
        <f>strata10!G34</f>
        <v>8.5</v>
      </c>
      <c r="F13" s="61">
        <f>strata10!G36</f>
        <v>1.6231634340409722</v>
      </c>
      <c r="H13" s="94"/>
      <c r="I13" s="94"/>
      <c r="J13" s="94"/>
    </row>
    <row r="14" spans="2:10" x14ac:dyDescent="0.25">
      <c r="B14" s="3" t="s">
        <v>670</v>
      </c>
      <c r="C14" s="24">
        <v>21374.62</v>
      </c>
      <c r="D14" s="61">
        <f t="shared" si="0"/>
        <v>2.955955630690561</v>
      </c>
      <c r="E14" s="61">
        <f>strata11!G25</f>
        <v>5.35</v>
      </c>
      <c r="F14" s="61">
        <f>strata11!G27</f>
        <v>1.2214512088313463</v>
      </c>
      <c r="H14" s="94"/>
      <c r="I14" s="94"/>
      <c r="J14" s="94"/>
    </row>
    <row r="15" spans="2:10" x14ac:dyDescent="0.25">
      <c r="B15" s="3" t="s">
        <v>671</v>
      </c>
      <c r="C15" s="24">
        <v>26652.6</v>
      </c>
      <c r="D15" s="61">
        <f t="shared" si="0"/>
        <v>3.8446734543904801</v>
      </c>
      <c r="E15" s="61">
        <f>strata12!G34</f>
        <v>5.55</v>
      </c>
      <c r="F15" s="61">
        <f>strata12!G36</f>
        <v>0.87006456408648958</v>
      </c>
      <c r="H15" s="94"/>
      <c r="I15" s="94"/>
      <c r="J15" s="94"/>
    </row>
    <row r="16" spans="2:10" x14ac:dyDescent="0.25">
      <c r="B16" s="3" t="s">
        <v>672</v>
      </c>
      <c r="C16" s="24">
        <v>2083.39</v>
      </c>
      <c r="D16" s="61">
        <f t="shared" si="0"/>
        <v>2.4687357172991469</v>
      </c>
      <c r="E16" s="61">
        <f>strata13!G25</f>
        <v>7.86</v>
      </c>
      <c r="F16" s="61">
        <f>strata13!G27</f>
        <v>2.7506450421943129</v>
      </c>
      <c r="H16" s="94"/>
      <c r="I16" s="94"/>
      <c r="J16" s="94"/>
    </row>
    <row r="17" spans="2:10" x14ac:dyDescent="0.25">
      <c r="B17" s="3" t="s">
        <v>673</v>
      </c>
      <c r="C17" s="24">
        <v>2194.31</v>
      </c>
      <c r="D17" s="61">
        <f t="shared" si="0"/>
        <v>4.2876296873360626</v>
      </c>
      <c r="E17" s="61">
        <f>strata14!G25</f>
        <v>7.53</v>
      </c>
      <c r="F17" s="61">
        <f>strata14!G27</f>
        <v>1.6542705676856824</v>
      </c>
      <c r="H17" s="94"/>
      <c r="I17" s="94"/>
      <c r="J17" s="94"/>
    </row>
    <row r="18" spans="2:10" x14ac:dyDescent="0.25">
      <c r="B18" s="3" t="s">
        <v>674</v>
      </c>
      <c r="C18" s="24">
        <v>3034.93</v>
      </c>
      <c r="D18" s="61">
        <f t="shared" si="0"/>
        <v>2.16999903855932</v>
      </c>
      <c r="E18" s="61">
        <f>strata15!G25</f>
        <v>4.3600000000000003</v>
      </c>
      <c r="F18" s="61">
        <f>strata15!G27</f>
        <v>1.1173474293064696</v>
      </c>
      <c r="H18" s="94"/>
      <c r="I18" s="94"/>
      <c r="J18" s="94"/>
    </row>
    <row r="19" spans="2:10" x14ac:dyDescent="0.25">
      <c r="B19" s="3" t="s">
        <v>675</v>
      </c>
      <c r="C19" s="24">
        <v>22762.37</v>
      </c>
      <c r="D19" s="61">
        <f t="shared" si="0"/>
        <v>4.7296218425348524</v>
      </c>
      <c r="E19" s="61">
        <f>strata16!G25</f>
        <v>7.59</v>
      </c>
      <c r="F19" s="61">
        <f>strata16!G27</f>
        <v>1.4593766109516058</v>
      </c>
      <c r="H19" s="94"/>
      <c r="I19" s="94"/>
      <c r="J19" s="94"/>
    </row>
    <row r="20" spans="2:10" x14ac:dyDescent="0.25">
      <c r="B20" s="3" t="s">
        <v>676</v>
      </c>
      <c r="C20" s="24">
        <v>3118.59</v>
      </c>
      <c r="D20" s="61">
        <f t="shared" si="0"/>
        <v>2.8171392881546486</v>
      </c>
      <c r="E20" s="61">
        <f>strata17!G25</f>
        <v>4.96</v>
      </c>
      <c r="F20" s="61">
        <f>strata17!G27</f>
        <v>1.0932962815537506</v>
      </c>
      <c r="H20" s="94"/>
      <c r="I20" s="94"/>
      <c r="J20" s="94"/>
    </row>
    <row r="21" spans="2:10" x14ac:dyDescent="0.25">
      <c r="B21" s="3" t="s">
        <v>677</v>
      </c>
      <c r="C21" s="24">
        <v>17704.939999999999</v>
      </c>
      <c r="D21" s="61">
        <f t="shared" si="0"/>
        <v>4.0164166024160579</v>
      </c>
      <c r="E21" s="61">
        <f>strata18!G25</f>
        <v>7.3</v>
      </c>
      <c r="F21" s="61">
        <f>strata18!G27</f>
        <v>1.6752976518285416</v>
      </c>
      <c r="H21" s="94"/>
      <c r="I21" s="94"/>
      <c r="J21" s="94"/>
    </row>
    <row r="22" spans="2:10" ht="13" x14ac:dyDescent="0.25">
      <c r="B22" s="15" t="s">
        <v>16</v>
      </c>
      <c r="C22" s="62">
        <f>SUM(C4:C21)</f>
        <v>261059.8</v>
      </c>
      <c r="D22" s="63">
        <f>SUMPRODUCT(C4:C21,D4:D21)/C22</f>
        <v>2.7938562162729292</v>
      </c>
      <c r="E22" s="61"/>
      <c r="F22" s="61"/>
    </row>
    <row r="23" spans="2:10" ht="13" x14ac:dyDescent="0.25">
      <c r="B23" s="64"/>
      <c r="C23" s="64"/>
      <c r="D23" s="64"/>
      <c r="E23" s="64"/>
      <c r="F23" s="64"/>
    </row>
    <row r="24" spans="2:10" ht="15" x14ac:dyDescent="0.25">
      <c r="B24" s="97" t="s">
        <v>17</v>
      </c>
      <c r="C24" s="98"/>
      <c r="D24" s="60" t="s">
        <v>153</v>
      </c>
      <c r="E24" s="47" t="s">
        <v>136</v>
      </c>
      <c r="F24" s="64"/>
    </row>
    <row r="25" spans="2:10" ht="15.5" x14ac:dyDescent="0.25">
      <c r="B25" s="84" t="s">
        <v>123</v>
      </c>
      <c r="C25" s="83" t="s">
        <v>124</v>
      </c>
      <c r="D25" s="83" t="s">
        <v>154</v>
      </c>
      <c r="E25" s="59" t="s">
        <v>18</v>
      </c>
      <c r="F25" s="64"/>
    </row>
    <row r="26" spans="2:10" ht="13" x14ac:dyDescent="0.25">
      <c r="B26" s="65">
        <v>42941</v>
      </c>
      <c r="C26" s="65">
        <v>43100</v>
      </c>
      <c r="D26" s="13">
        <f>C26-B26+1</f>
        <v>160</v>
      </c>
      <c r="E26" s="66">
        <f>ROUND(D$22/D$31*D26*44/12*$C$22,0)</f>
        <v>263969</v>
      </c>
      <c r="F26" s="64"/>
    </row>
    <row r="27" spans="2:10" ht="13" x14ac:dyDescent="0.25">
      <c r="B27" s="65">
        <v>43101</v>
      </c>
      <c r="C27" s="65">
        <v>43465</v>
      </c>
      <c r="D27" s="13">
        <f t="shared" ref="D27:D30" si="1">C27-B27+1</f>
        <v>365</v>
      </c>
      <c r="E27" s="66">
        <f>ROUND(D$22/D$31*D27*44/12*$C$22,0)</f>
        <v>602179</v>
      </c>
      <c r="F27" s="64"/>
    </row>
    <row r="28" spans="2:10" ht="13" x14ac:dyDescent="0.25">
      <c r="B28" s="65">
        <v>43466</v>
      </c>
      <c r="C28" s="65">
        <v>43830</v>
      </c>
      <c r="D28" s="13">
        <f t="shared" si="1"/>
        <v>365</v>
      </c>
      <c r="E28" s="66">
        <f>ROUND(D$22/D$31*D28*44/12*$C$22,0)</f>
        <v>602179</v>
      </c>
      <c r="F28" s="64"/>
    </row>
    <row r="29" spans="2:10" ht="13" x14ac:dyDescent="0.25">
      <c r="B29" s="65">
        <v>43831</v>
      </c>
      <c r="C29" s="65">
        <v>44196</v>
      </c>
      <c r="D29" s="13">
        <f t="shared" si="1"/>
        <v>366</v>
      </c>
      <c r="E29" s="66">
        <f>ROUND(D$22/D$31*D29*44/12*$C$22,0)</f>
        <v>603828</v>
      </c>
      <c r="F29" s="64"/>
    </row>
    <row r="30" spans="2:10" ht="13" x14ac:dyDescent="0.25">
      <c r="B30" s="65">
        <v>44197</v>
      </c>
      <c r="C30" s="65">
        <v>44561</v>
      </c>
      <c r="D30" s="13">
        <f t="shared" si="1"/>
        <v>365</v>
      </c>
      <c r="E30" s="66">
        <f>ROUND(D$22/D$31*D30*44/12*$C$22,0)</f>
        <v>602179</v>
      </c>
      <c r="F30" s="64"/>
    </row>
    <row r="31" spans="2:10" ht="13" x14ac:dyDescent="0.25">
      <c r="B31" s="15" t="s">
        <v>16</v>
      </c>
      <c r="C31" s="15"/>
      <c r="D31" s="16">
        <f>SUM(D26:D30)</f>
        <v>1621</v>
      </c>
      <c r="E31" s="67">
        <f>SUM(E26:E30)</f>
        <v>2674334</v>
      </c>
      <c r="F31" s="95"/>
    </row>
  </sheetData>
  <mergeCells count="4">
    <mergeCell ref="C2:C3"/>
    <mergeCell ref="D2:F2"/>
    <mergeCell ref="B2:B3"/>
    <mergeCell ref="B24:C24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05D1-E2F9-4449-B056-4618364DB2BE}">
  <dimension ref="B2:P27"/>
  <sheetViews>
    <sheetView tabSelected="1" zoomScale="90" zoomScaleNormal="90"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7.082031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8.9140625" style="32"/>
    <col min="16" max="16" width="10" style="32" customWidth="1"/>
    <col min="17" max="17" width="13.25" style="32" customWidth="1"/>
    <col min="18" max="18" width="10.9140625" style="32" customWidth="1"/>
    <col min="19" max="16384" width="8.9140625" style="32"/>
  </cols>
  <sheetData>
    <row r="2" spans="2:16" s="25" customFormat="1" ht="16" x14ac:dyDescent="0.3">
      <c r="B2" s="85" t="s">
        <v>33</v>
      </c>
      <c r="C2" s="85" t="s">
        <v>93</v>
      </c>
      <c r="D2" s="85" t="s">
        <v>94</v>
      </c>
      <c r="E2" s="85" t="s">
        <v>34</v>
      </c>
      <c r="F2" s="85" t="s">
        <v>95</v>
      </c>
      <c r="G2" s="85" t="s">
        <v>96</v>
      </c>
      <c r="H2" s="85" t="s">
        <v>97</v>
      </c>
      <c r="I2" s="85" t="s">
        <v>98</v>
      </c>
    </row>
    <row r="3" spans="2:16" x14ac:dyDescent="0.3">
      <c r="B3" s="26" t="s">
        <v>164</v>
      </c>
      <c r="C3" s="27">
        <v>0.27060000000000001</v>
      </c>
      <c r="D3" s="28">
        <v>1.18</v>
      </c>
      <c r="E3" s="28">
        <v>49.79</v>
      </c>
      <c r="F3" s="29">
        <f>E3/1.724</f>
        <v>28.880510440835266</v>
      </c>
      <c r="G3" s="30">
        <v>30</v>
      </c>
      <c r="H3" s="31">
        <f>ROUND(F3*D3*G3*(1-C3)*0.1,2)</f>
        <v>74.569999999999993</v>
      </c>
      <c r="I3" s="117" t="s">
        <v>99</v>
      </c>
    </row>
    <row r="4" spans="2:16" x14ac:dyDescent="0.3">
      <c r="B4" s="26" t="s">
        <v>165</v>
      </c>
      <c r="C4" s="27">
        <v>0.15440000000000001</v>
      </c>
      <c r="D4" s="28">
        <v>0.99</v>
      </c>
      <c r="E4" s="28">
        <v>27.03</v>
      </c>
      <c r="F4" s="29">
        <f t="shared" ref="F4:F8" si="0">E4/1.724</f>
        <v>15.678654292343388</v>
      </c>
      <c r="G4" s="30">
        <v>30</v>
      </c>
      <c r="H4" s="31">
        <f>ROUND(F4*D4*G4*(1-C4)*0.1,2)</f>
        <v>39.380000000000003</v>
      </c>
      <c r="I4" s="117"/>
    </row>
    <row r="5" spans="2:16" x14ac:dyDescent="0.3">
      <c r="B5" s="26" t="s">
        <v>166</v>
      </c>
      <c r="C5" s="27">
        <v>0.2671</v>
      </c>
      <c r="D5" s="28">
        <v>0.94</v>
      </c>
      <c r="E5" s="28">
        <v>37.22</v>
      </c>
      <c r="F5" s="29">
        <f t="shared" si="0"/>
        <v>21.589327146171694</v>
      </c>
      <c r="G5" s="30">
        <v>30</v>
      </c>
      <c r="H5" s="31">
        <f t="shared" ref="H5:H8" si="1">ROUND(F5*D5*G5*(1-C5)*0.1,2)</f>
        <v>44.62</v>
      </c>
      <c r="I5" s="117"/>
    </row>
    <row r="6" spans="2:16" x14ac:dyDescent="0.3">
      <c r="B6" s="26" t="s">
        <v>167</v>
      </c>
      <c r="C6" s="27">
        <v>0.224</v>
      </c>
      <c r="D6" s="28">
        <v>0.97</v>
      </c>
      <c r="E6" s="28">
        <v>58.24</v>
      </c>
      <c r="F6" s="29">
        <f t="shared" si="0"/>
        <v>33.78190255220418</v>
      </c>
      <c r="G6" s="30">
        <v>30</v>
      </c>
      <c r="H6" s="31">
        <f t="shared" si="1"/>
        <v>76.28</v>
      </c>
      <c r="I6" s="117"/>
    </row>
    <row r="7" spans="2:16" x14ac:dyDescent="0.3">
      <c r="B7" s="26" t="s">
        <v>168</v>
      </c>
      <c r="C7" s="27">
        <v>0.21310000000000001</v>
      </c>
      <c r="D7" s="28">
        <v>1.1599999999999999</v>
      </c>
      <c r="E7" s="28">
        <v>32.01</v>
      </c>
      <c r="F7" s="29">
        <f t="shared" si="0"/>
        <v>18.567285382830626</v>
      </c>
      <c r="G7" s="30">
        <v>30</v>
      </c>
      <c r="H7" s="31">
        <f t="shared" si="1"/>
        <v>50.84</v>
      </c>
      <c r="I7" s="117"/>
    </row>
    <row r="8" spans="2:16" x14ac:dyDescent="0.3">
      <c r="B8" s="26" t="s">
        <v>169</v>
      </c>
      <c r="C8" s="27">
        <v>0.20710000000000001</v>
      </c>
      <c r="D8" s="28">
        <v>1.1399999999999999</v>
      </c>
      <c r="E8" s="28">
        <v>38.28</v>
      </c>
      <c r="F8" s="29">
        <f t="shared" si="0"/>
        <v>22.20417633410673</v>
      </c>
      <c r="G8" s="30">
        <v>30</v>
      </c>
      <c r="H8" s="31">
        <f t="shared" si="1"/>
        <v>60.21</v>
      </c>
      <c r="I8" s="117"/>
    </row>
    <row r="9" spans="2:16" ht="14" customHeight="1" x14ac:dyDescent="0.3">
      <c r="P9" s="33"/>
    </row>
    <row r="10" spans="2:16" ht="16" x14ac:dyDescent="0.3">
      <c r="B10" s="85" t="s">
        <v>33</v>
      </c>
      <c r="C10" s="85" t="s">
        <v>137</v>
      </c>
      <c r="D10" s="85" t="s">
        <v>138</v>
      </c>
      <c r="E10" s="85" t="s">
        <v>34</v>
      </c>
      <c r="F10" s="85" t="s">
        <v>139</v>
      </c>
      <c r="G10" s="85" t="s">
        <v>96</v>
      </c>
      <c r="H10" s="85" t="s">
        <v>140</v>
      </c>
      <c r="I10" s="85" t="s">
        <v>98</v>
      </c>
    </row>
    <row r="11" spans="2:16" x14ac:dyDescent="0.3">
      <c r="B11" s="26" t="s">
        <v>170</v>
      </c>
      <c r="C11" s="27">
        <v>0.22819999999999999</v>
      </c>
      <c r="D11" s="28">
        <v>1.1100000000000001</v>
      </c>
      <c r="E11" s="28">
        <v>51.52</v>
      </c>
      <c r="F11" s="30">
        <v>30</v>
      </c>
      <c r="G11" s="29">
        <f t="shared" ref="G11:G16" si="2">E11/1.724</f>
        <v>29.883990719257543</v>
      </c>
      <c r="H11" s="31">
        <f>ROUND(G11*D11*F11*(1-C11)*0.1,2)</f>
        <v>76.8</v>
      </c>
      <c r="I11" s="117" t="s">
        <v>99</v>
      </c>
    </row>
    <row r="12" spans="2:16" x14ac:dyDescent="0.3">
      <c r="B12" s="26" t="s">
        <v>171</v>
      </c>
      <c r="C12" s="27">
        <v>0.16420000000000001</v>
      </c>
      <c r="D12" s="28">
        <v>1.02</v>
      </c>
      <c r="E12" s="28">
        <v>28.12</v>
      </c>
      <c r="F12" s="30">
        <v>30</v>
      </c>
      <c r="G12" s="29">
        <f t="shared" si="2"/>
        <v>16.310904872389791</v>
      </c>
      <c r="H12" s="31">
        <f t="shared" ref="H12:H16" si="3">ROUND(G12*D12*F12*(1-C12)*0.1,2)</f>
        <v>41.72</v>
      </c>
      <c r="I12" s="117"/>
    </row>
    <row r="13" spans="2:16" x14ac:dyDescent="0.3">
      <c r="B13" s="26" t="s">
        <v>172</v>
      </c>
      <c r="C13" s="27">
        <v>0.27529999999999999</v>
      </c>
      <c r="D13" s="26">
        <v>0.95</v>
      </c>
      <c r="E13" s="26">
        <v>39.85</v>
      </c>
      <c r="F13" s="30">
        <v>30</v>
      </c>
      <c r="G13" s="29">
        <f t="shared" si="2"/>
        <v>23.114849187935036</v>
      </c>
      <c r="H13" s="31">
        <f t="shared" si="3"/>
        <v>47.74</v>
      </c>
      <c r="I13" s="117"/>
    </row>
    <row r="14" spans="2:16" x14ac:dyDescent="0.3">
      <c r="B14" s="26" t="s">
        <v>173</v>
      </c>
      <c r="C14" s="27">
        <v>0.2316</v>
      </c>
      <c r="D14" s="26">
        <v>0.98</v>
      </c>
      <c r="E14" s="26">
        <v>58.99</v>
      </c>
      <c r="F14" s="30">
        <v>30</v>
      </c>
      <c r="G14" s="29">
        <f t="shared" si="2"/>
        <v>34.216937354988403</v>
      </c>
      <c r="H14" s="31">
        <f t="shared" si="3"/>
        <v>77.3</v>
      </c>
      <c r="I14" s="117"/>
    </row>
    <row r="15" spans="2:16" x14ac:dyDescent="0.3">
      <c r="B15" s="26" t="s">
        <v>174</v>
      </c>
      <c r="C15" s="27">
        <v>0.20899999999999999</v>
      </c>
      <c r="D15" s="28">
        <v>1.18</v>
      </c>
      <c r="E15" s="28">
        <v>37.43</v>
      </c>
      <c r="F15" s="30">
        <v>30</v>
      </c>
      <c r="G15" s="29">
        <f t="shared" si="2"/>
        <v>21.711136890951277</v>
      </c>
      <c r="H15" s="31">
        <f t="shared" si="3"/>
        <v>60.79</v>
      </c>
      <c r="I15" s="117"/>
    </row>
    <row r="16" spans="2:16" x14ac:dyDescent="0.3">
      <c r="B16" s="26" t="s">
        <v>175</v>
      </c>
      <c r="C16" s="27">
        <v>0.2384</v>
      </c>
      <c r="D16" s="26">
        <v>1.1499999999999999</v>
      </c>
      <c r="E16" s="26">
        <v>40.07</v>
      </c>
      <c r="F16" s="30">
        <v>30</v>
      </c>
      <c r="G16" s="29">
        <f t="shared" si="2"/>
        <v>23.242459396751741</v>
      </c>
      <c r="H16" s="31">
        <f t="shared" si="3"/>
        <v>61.07</v>
      </c>
      <c r="I16" s="117"/>
    </row>
    <row r="17" spans="2:8" x14ac:dyDescent="0.3">
      <c r="B17" s="26"/>
      <c r="C17" s="14"/>
      <c r="D17" s="70"/>
      <c r="E17" s="68"/>
      <c r="F17" s="69"/>
      <c r="G17" s="69"/>
      <c r="H17" s="76"/>
    </row>
    <row r="18" spans="2:8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8" x14ac:dyDescent="0.3">
      <c r="B19" s="26" t="s">
        <v>177</v>
      </c>
      <c r="C19" s="26" t="s">
        <v>145</v>
      </c>
      <c r="D19" s="89">
        <v>99.513816669999997</v>
      </c>
      <c r="E19" s="89">
        <v>39.297377779999998</v>
      </c>
      <c r="F19" s="90" t="s">
        <v>178</v>
      </c>
      <c r="G19" s="70">
        <f t="shared" ref="G19:G24" si="4">H11-H3</f>
        <v>2.230000000000004</v>
      </c>
    </row>
    <row r="20" spans="2:8" x14ac:dyDescent="0.3">
      <c r="B20" s="26" t="s">
        <v>179</v>
      </c>
      <c r="C20" s="26" t="s">
        <v>146</v>
      </c>
      <c r="D20" s="89">
        <v>99.602472779999999</v>
      </c>
      <c r="E20" s="89">
        <v>39.707586110000001</v>
      </c>
      <c r="F20" s="90" t="s">
        <v>178</v>
      </c>
      <c r="G20" s="70">
        <f t="shared" si="4"/>
        <v>2.3399999999999963</v>
      </c>
    </row>
    <row r="21" spans="2:8" x14ac:dyDescent="0.3">
      <c r="B21" s="26" t="s">
        <v>180</v>
      </c>
      <c r="C21" s="26" t="s">
        <v>147</v>
      </c>
      <c r="D21" s="89">
        <v>99.617839439999997</v>
      </c>
      <c r="E21" s="89">
        <v>39.717946670000003</v>
      </c>
      <c r="F21" s="90" t="s">
        <v>178</v>
      </c>
      <c r="G21" s="70">
        <f t="shared" si="4"/>
        <v>3.1200000000000045</v>
      </c>
    </row>
    <row r="22" spans="2:8" x14ac:dyDescent="0.3">
      <c r="B22" s="26" t="s">
        <v>181</v>
      </c>
      <c r="C22" s="26" t="s">
        <v>148</v>
      </c>
      <c r="D22" s="89">
        <v>99.630929170000002</v>
      </c>
      <c r="E22" s="89">
        <v>39.692968890000003</v>
      </c>
      <c r="F22" s="90" t="s">
        <v>178</v>
      </c>
      <c r="G22" s="70">
        <f t="shared" si="4"/>
        <v>1.019999999999996</v>
      </c>
    </row>
    <row r="23" spans="2:8" x14ac:dyDescent="0.3">
      <c r="B23" s="26" t="s">
        <v>182</v>
      </c>
      <c r="C23" s="26" t="s">
        <v>149</v>
      </c>
      <c r="D23" s="89">
        <v>99.636086939999998</v>
      </c>
      <c r="E23" s="89">
        <v>39.692896939999997</v>
      </c>
      <c r="F23" s="90" t="s">
        <v>178</v>
      </c>
      <c r="G23" s="70">
        <f t="shared" si="4"/>
        <v>9.9499999999999957</v>
      </c>
    </row>
    <row r="24" spans="2:8" x14ac:dyDescent="0.3">
      <c r="B24" s="26" t="s">
        <v>183</v>
      </c>
      <c r="C24" s="26" t="s">
        <v>150</v>
      </c>
      <c r="D24" s="89">
        <v>99.774436940000001</v>
      </c>
      <c r="E24" s="89">
        <v>39.675045560000001</v>
      </c>
      <c r="F24" s="90" t="s">
        <v>178</v>
      </c>
      <c r="G24" s="70">
        <f t="shared" si="4"/>
        <v>0.85999999999999943</v>
      </c>
    </row>
    <row r="25" spans="2:8" ht="13" x14ac:dyDescent="0.3">
      <c r="B25" s="3"/>
      <c r="C25" s="73"/>
      <c r="D25" s="3"/>
      <c r="E25" s="3"/>
      <c r="F25" s="15" t="s">
        <v>151</v>
      </c>
      <c r="G25" s="74">
        <f>ROUND(AVERAGE(G19:G24),2)</f>
        <v>3.25</v>
      </c>
    </row>
    <row r="26" spans="2:8" ht="13" x14ac:dyDescent="0.3">
      <c r="B26" s="3"/>
      <c r="C26" s="73"/>
      <c r="D26" s="3"/>
      <c r="E26" s="3"/>
      <c r="F26" s="15" t="s">
        <v>152</v>
      </c>
      <c r="G26" s="74">
        <f>STDEVP(G19:G24)</f>
        <v>3.0946279618432673</v>
      </c>
    </row>
    <row r="27" spans="2:8" ht="13" x14ac:dyDescent="0.3">
      <c r="B27" s="3"/>
      <c r="C27" s="73"/>
      <c r="D27" s="3"/>
      <c r="E27" s="3"/>
      <c r="F27" s="15" t="s">
        <v>134</v>
      </c>
      <c r="G27" s="74">
        <f>G26/SQRT(COUNT(G19:G24))</f>
        <v>1.2633765750441828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3E86-DD59-4460-BD9E-4A29D749D769}">
  <dimension ref="B2:O27"/>
  <sheetViews>
    <sheetView zoomScaleNormal="100"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6.4140625" style="32" customWidth="1"/>
    <col min="10" max="10" width="3.91406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227</v>
      </c>
      <c r="D2" s="91" t="s">
        <v>228</v>
      </c>
      <c r="E2" s="91" t="s">
        <v>34</v>
      </c>
      <c r="F2" s="91" t="s">
        <v>229</v>
      </c>
      <c r="G2" s="91" t="s">
        <v>96</v>
      </c>
      <c r="H2" s="91" t="s">
        <v>202</v>
      </c>
      <c r="I2" s="85" t="s">
        <v>98</v>
      </c>
    </row>
    <row r="3" spans="2:15" ht="13.25" customHeight="1" x14ac:dyDescent="0.3">
      <c r="B3" s="26" t="s">
        <v>184</v>
      </c>
      <c r="C3" s="27">
        <v>9.3299999999999994E-2</v>
      </c>
      <c r="D3" s="28">
        <v>1.02</v>
      </c>
      <c r="E3" s="28">
        <v>42.36</v>
      </c>
      <c r="F3" s="29">
        <f t="shared" ref="F3:F8" si="0">E3/1.724</f>
        <v>24.570765661252899</v>
      </c>
      <c r="G3" s="30">
        <v>30</v>
      </c>
      <c r="H3" s="31">
        <f>ROUND(F3*D3*G3*(1-C3)*0.1,2)</f>
        <v>68.17</v>
      </c>
      <c r="I3" s="118" t="s">
        <v>99</v>
      </c>
    </row>
    <row r="4" spans="2:15" x14ac:dyDescent="0.3">
      <c r="B4" s="26" t="s">
        <v>185</v>
      </c>
      <c r="C4" s="27">
        <v>0.1142</v>
      </c>
      <c r="D4" s="28">
        <v>1.07</v>
      </c>
      <c r="E4" s="28">
        <v>52.28</v>
      </c>
      <c r="F4" s="29">
        <f t="shared" si="0"/>
        <v>30.324825986078888</v>
      </c>
      <c r="G4" s="30">
        <v>30</v>
      </c>
      <c r="H4" s="31">
        <f t="shared" ref="H4:H8" si="1">ROUND(F4*D4*G4*(1-C4)*0.1,2)</f>
        <v>86.23</v>
      </c>
      <c r="I4" s="119"/>
    </row>
    <row r="5" spans="2:15" x14ac:dyDescent="0.3">
      <c r="B5" s="26" t="s">
        <v>186</v>
      </c>
      <c r="C5" s="27">
        <v>9.4600000000000004E-2</v>
      </c>
      <c r="D5" s="28">
        <v>1.1399999999999999</v>
      </c>
      <c r="E5" s="28">
        <v>57.06</v>
      </c>
      <c r="F5" s="29">
        <f t="shared" si="0"/>
        <v>33.097447795823669</v>
      </c>
      <c r="G5" s="30">
        <v>30</v>
      </c>
      <c r="H5" s="31">
        <f t="shared" si="1"/>
        <v>102.49</v>
      </c>
      <c r="I5" s="119"/>
    </row>
    <row r="6" spans="2:15" x14ac:dyDescent="0.3">
      <c r="B6" s="26" t="s">
        <v>187</v>
      </c>
      <c r="C6" s="27">
        <v>0.1772</v>
      </c>
      <c r="D6" s="28">
        <v>1.1200000000000001</v>
      </c>
      <c r="E6" s="28">
        <v>39.74</v>
      </c>
      <c r="F6" s="29">
        <f t="shared" si="0"/>
        <v>23.051044083526683</v>
      </c>
      <c r="G6" s="30">
        <v>30</v>
      </c>
      <c r="H6" s="31">
        <f t="shared" si="1"/>
        <v>63.73</v>
      </c>
      <c r="I6" s="119"/>
    </row>
    <row r="7" spans="2:15" x14ac:dyDescent="0.3">
      <c r="B7" s="26" t="s">
        <v>188</v>
      </c>
      <c r="C7" s="27">
        <v>0.18790000000000001</v>
      </c>
      <c r="D7" s="28">
        <v>0.99</v>
      </c>
      <c r="E7" s="28">
        <v>35.090000000000003</v>
      </c>
      <c r="F7" s="29">
        <f t="shared" si="0"/>
        <v>20.353828306264504</v>
      </c>
      <c r="G7" s="30">
        <v>30</v>
      </c>
      <c r="H7" s="31">
        <f t="shared" si="1"/>
        <v>49.09</v>
      </c>
      <c r="I7" s="119"/>
    </row>
    <row r="8" spans="2:15" x14ac:dyDescent="0.3">
      <c r="B8" s="26" t="s">
        <v>189</v>
      </c>
      <c r="C8" s="27">
        <v>0.1991</v>
      </c>
      <c r="D8" s="28">
        <v>1.1100000000000001</v>
      </c>
      <c r="E8" s="28">
        <v>48.99</v>
      </c>
      <c r="F8" s="29">
        <f t="shared" si="0"/>
        <v>28.416473317865432</v>
      </c>
      <c r="G8" s="30">
        <v>30</v>
      </c>
      <c r="H8" s="31">
        <f t="shared" si="1"/>
        <v>75.790000000000006</v>
      </c>
      <c r="I8" s="119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204</v>
      </c>
      <c r="D10" s="91" t="s">
        <v>205</v>
      </c>
      <c r="E10" s="91" t="s">
        <v>34</v>
      </c>
      <c r="F10" s="91" t="s">
        <v>206</v>
      </c>
      <c r="G10" s="91" t="s">
        <v>96</v>
      </c>
      <c r="H10" s="91" t="s">
        <v>203</v>
      </c>
      <c r="I10" s="85" t="s">
        <v>98</v>
      </c>
    </row>
    <row r="11" spans="2:15" x14ac:dyDescent="0.3">
      <c r="B11" s="26" t="s">
        <v>190</v>
      </c>
      <c r="C11" s="27">
        <v>0.10009999999999999</v>
      </c>
      <c r="D11" s="28">
        <v>1.05</v>
      </c>
      <c r="E11" s="28">
        <v>42.53</v>
      </c>
      <c r="F11" s="29">
        <f t="shared" ref="F11:F16" si="2">E11/1.724</f>
        <v>24.669373549883993</v>
      </c>
      <c r="G11" s="30">
        <v>30</v>
      </c>
      <c r="H11" s="31">
        <f>ROUND(F11*D11*G11*(1-C11)*0.1,2)</f>
        <v>69.930000000000007</v>
      </c>
      <c r="I11" s="118" t="s">
        <v>99</v>
      </c>
    </row>
    <row r="12" spans="2:15" x14ac:dyDescent="0.3">
      <c r="B12" s="26" t="s">
        <v>191</v>
      </c>
      <c r="C12" s="27">
        <v>9.6600000000000005E-2</v>
      </c>
      <c r="D12" s="28">
        <v>1.02</v>
      </c>
      <c r="E12" s="28">
        <v>54.92</v>
      </c>
      <c r="F12" s="29">
        <f t="shared" si="2"/>
        <v>31.856148491879352</v>
      </c>
      <c r="G12" s="30">
        <v>30</v>
      </c>
      <c r="H12" s="31">
        <f t="shared" ref="H12:H16" si="3">ROUND(F12*D12*G12*(1-C12)*0.1,2)</f>
        <v>88.06</v>
      </c>
      <c r="I12" s="119"/>
    </row>
    <row r="13" spans="2:15" x14ac:dyDescent="0.3">
      <c r="B13" s="26" t="s">
        <v>192</v>
      </c>
      <c r="C13" s="27">
        <v>0.1096</v>
      </c>
      <c r="D13" s="26">
        <v>1.1499999999999999</v>
      </c>
      <c r="E13" s="26">
        <v>58.8</v>
      </c>
      <c r="F13" s="29">
        <f t="shared" si="2"/>
        <v>34.106728538283065</v>
      </c>
      <c r="G13" s="30">
        <v>30</v>
      </c>
      <c r="H13" s="31">
        <f t="shared" si="3"/>
        <v>104.77</v>
      </c>
      <c r="I13" s="119"/>
    </row>
    <row r="14" spans="2:15" x14ac:dyDescent="0.3">
      <c r="B14" s="26" t="s">
        <v>193</v>
      </c>
      <c r="C14" s="27">
        <v>0.18140000000000001</v>
      </c>
      <c r="D14" s="26">
        <v>1.1299999999999999</v>
      </c>
      <c r="E14" s="26">
        <v>40.950000000000003</v>
      </c>
      <c r="F14" s="29">
        <f t="shared" si="2"/>
        <v>23.752900232018565</v>
      </c>
      <c r="G14" s="30">
        <v>30</v>
      </c>
      <c r="H14" s="31">
        <f t="shared" si="3"/>
        <v>65.92</v>
      </c>
      <c r="I14" s="119"/>
    </row>
    <row r="15" spans="2:15" x14ac:dyDescent="0.3">
      <c r="B15" s="26" t="s">
        <v>194</v>
      </c>
      <c r="C15" s="27">
        <v>0.1699</v>
      </c>
      <c r="D15" s="28">
        <v>1.04</v>
      </c>
      <c r="E15" s="28">
        <v>36.17</v>
      </c>
      <c r="F15" s="29">
        <f t="shared" si="2"/>
        <v>20.980278422273784</v>
      </c>
      <c r="G15" s="30">
        <v>30</v>
      </c>
      <c r="H15" s="31">
        <f t="shared" si="3"/>
        <v>54.34</v>
      </c>
      <c r="I15" s="119"/>
    </row>
    <row r="16" spans="2:15" x14ac:dyDescent="0.3">
      <c r="B16" s="26" t="s">
        <v>195</v>
      </c>
      <c r="C16" s="27">
        <v>0.18290000000000001</v>
      </c>
      <c r="D16" s="26">
        <v>1.1200000000000001</v>
      </c>
      <c r="E16" s="26">
        <v>50.55</v>
      </c>
      <c r="F16" s="29">
        <f t="shared" si="2"/>
        <v>29.321345707656612</v>
      </c>
      <c r="G16" s="30">
        <v>30</v>
      </c>
      <c r="H16" s="31">
        <f t="shared" si="3"/>
        <v>80.5</v>
      </c>
      <c r="I16" s="119"/>
    </row>
    <row r="17" spans="2:8" x14ac:dyDescent="0.3">
      <c r="B17" s="26"/>
      <c r="C17" s="14"/>
      <c r="D17" s="68"/>
      <c r="E17" s="68"/>
      <c r="F17" s="69"/>
      <c r="G17" s="69"/>
      <c r="H17" s="76"/>
    </row>
    <row r="18" spans="2:8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8" x14ac:dyDescent="0.3">
      <c r="B19" s="75" t="s">
        <v>196</v>
      </c>
      <c r="C19" s="3" t="s">
        <v>176</v>
      </c>
      <c r="D19" s="71">
        <v>99.463080559999995</v>
      </c>
      <c r="E19" s="71">
        <v>39.167227779999997</v>
      </c>
      <c r="F19" s="72" t="s">
        <v>38</v>
      </c>
      <c r="G19" s="70">
        <f t="shared" ref="G19:G24" si="4">H11-H3</f>
        <v>1.7600000000000051</v>
      </c>
    </row>
    <row r="20" spans="2:8" x14ac:dyDescent="0.3">
      <c r="B20" s="75" t="s">
        <v>197</v>
      </c>
      <c r="C20" s="3" t="s">
        <v>146</v>
      </c>
      <c r="D20" s="71">
        <v>99.451030560000007</v>
      </c>
      <c r="E20" s="71">
        <v>39.131391669999999</v>
      </c>
      <c r="F20" s="72" t="s">
        <v>38</v>
      </c>
      <c r="G20" s="70">
        <f t="shared" si="4"/>
        <v>1.8299999999999983</v>
      </c>
    </row>
    <row r="21" spans="2:8" x14ac:dyDescent="0.3">
      <c r="B21" s="75" t="s">
        <v>198</v>
      </c>
      <c r="C21" s="3" t="s">
        <v>147</v>
      </c>
      <c r="D21" s="71">
        <v>99.462233330000004</v>
      </c>
      <c r="E21" s="71">
        <v>39.17971111</v>
      </c>
      <c r="F21" s="72" t="s">
        <v>38</v>
      </c>
      <c r="G21" s="70">
        <f t="shared" si="4"/>
        <v>2.2800000000000011</v>
      </c>
    </row>
    <row r="22" spans="2:8" x14ac:dyDescent="0.3">
      <c r="B22" s="75" t="s">
        <v>199</v>
      </c>
      <c r="C22" s="3" t="s">
        <v>148</v>
      </c>
      <c r="D22" s="71">
        <v>100.7782244</v>
      </c>
      <c r="E22" s="71">
        <v>39.103418329999997</v>
      </c>
      <c r="F22" s="72" t="s">
        <v>38</v>
      </c>
      <c r="G22" s="70">
        <f t="shared" si="4"/>
        <v>2.1900000000000048</v>
      </c>
    </row>
    <row r="23" spans="2:8" x14ac:dyDescent="0.3">
      <c r="B23" s="75" t="s">
        <v>200</v>
      </c>
      <c r="C23" s="3" t="s">
        <v>149</v>
      </c>
      <c r="D23" s="71">
        <v>100.7537525</v>
      </c>
      <c r="E23" s="71">
        <v>39.090534439999999</v>
      </c>
      <c r="F23" s="72" t="s">
        <v>38</v>
      </c>
      <c r="G23" s="70">
        <f t="shared" si="4"/>
        <v>5.25</v>
      </c>
    </row>
    <row r="24" spans="2:8" x14ac:dyDescent="0.3">
      <c r="B24" s="75" t="s">
        <v>201</v>
      </c>
      <c r="C24" s="3" t="s">
        <v>150</v>
      </c>
      <c r="D24" s="71">
        <v>100.8035153</v>
      </c>
      <c r="E24" s="71">
        <v>39.092215000000003</v>
      </c>
      <c r="F24" s="72" t="s">
        <v>38</v>
      </c>
      <c r="G24" s="70">
        <f t="shared" si="4"/>
        <v>4.7099999999999937</v>
      </c>
    </row>
    <row r="25" spans="2:8" ht="13" x14ac:dyDescent="0.3">
      <c r="B25" s="3"/>
      <c r="C25" s="73"/>
      <c r="D25" s="3"/>
      <c r="E25" s="3"/>
      <c r="F25" s="15" t="s">
        <v>151</v>
      </c>
      <c r="G25" s="74">
        <f>ROUND(AVERAGE(G19:G24),2)</f>
        <v>3</v>
      </c>
    </row>
    <row r="26" spans="2:8" ht="13" x14ac:dyDescent="0.3">
      <c r="B26" s="3"/>
      <c r="C26" s="73"/>
      <c r="D26" s="3"/>
      <c r="E26" s="3"/>
      <c r="F26" s="15" t="s">
        <v>152</v>
      </c>
      <c r="G26" s="74">
        <f>STDEVP(G19:G24)</f>
        <v>1.4181874190513568</v>
      </c>
    </row>
    <row r="27" spans="2:8" ht="13" x14ac:dyDescent="0.3">
      <c r="B27" s="3"/>
      <c r="C27" s="73"/>
      <c r="D27" s="3"/>
      <c r="E27" s="3"/>
      <c r="F27" s="15" t="s">
        <v>134</v>
      </c>
      <c r="G27" s="74">
        <f>G26/SQRT(COUNT(G19:G24))</f>
        <v>0.57897258938507457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713D-DFE3-4C2D-BB30-F44A41ADA5FE}">
  <dimension ref="B2:O27"/>
  <sheetViews>
    <sheetView zoomScaleNormal="100"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207</v>
      </c>
      <c r="D2" s="91" t="s">
        <v>208</v>
      </c>
      <c r="E2" s="91" t="s">
        <v>34</v>
      </c>
      <c r="F2" s="91" t="s">
        <v>209</v>
      </c>
      <c r="G2" s="91" t="s">
        <v>96</v>
      </c>
      <c r="H2" s="91" t="s">
        <v>210</v>
      </c>
      <c r="I2" s="85" t="s">
        <v>98</v>
      </c>
    </row>
    <row r="3" spans="2:15" ht="13.25" customHeight="1" x14ac:dyDescent="0.3">
      <c r="B3" s="26" t="s">
        <v>211</v>
      </c>
      <c r="C3" s="27">
        <v>0.23369999999999999</v>
      </c>
      <c r="D3" s="28">
        <v>0.81</v>
      </c>
      <c r="E3" s="28">
        <v>11.97</v>
      </c>
      <c r="F3" s="29">
        <f>E3/1.724</f>
        <v>6.9431554524361951</v>
      </c>
      <c r="G3" s="30">
        <v>30</v>
      </c>
      <c r="H3" s="31">
        <f>ROUND(F3*D3*G3*(1-C3)*0.1,2)</f>
        <v>12.93</v>
      </c>
      <c r="I3" s="118" t="s">
        <v>99</v>
      </c>
      <c r="K3" s="25"/>
    </row>
    <row r="4" spans="2:15" x14ac:dyDescent="0.3">
      <c r="B4" s="26" t="s">
        <v>212</v>
      </c>
      <c r="C4" s="27">
        <v>0.15939999999999999</v>
      </c>
      <c r="D4" s="28">
        <v>0.9</v>
      </c>
      <c r="E4" s="28">
        <v>25.32</v>
      </c>
      <c r="F4" s="29">
        <f t="shared" ref="F4:F8" si="0">E4/1.724</f>
        <v>14.68677494199536</v>
      </c>
      <c r="G4" s="30">
        <v>30</v>
      </c>
      <c r="H4" s="31">
        <f t="shared" ref="H4:H8" si="1">ROUND(F4*D4*G4*(1-C4)*0.1,2)</f>
        <v>33.33</v>
      </c>
      <c r="I4" s="119"/>
      <c r="K4" s="25"/>
    </row>
    <row r="5" spans="2:15" x14ac:dyDescent="0.3">
      <c r="B5" s="26" t="s">
        <v>213</v>
      </c>
      <c r="C5" s="27">
        <v>0.1822</v>
      </c>
      <c r="D5" s="28">
        <v>1.0900000000000001</v>
      </c>
      <c r="E5" s="28">
        <v>43.09</v>
      </c>
      <c r="F5" s="29">
        <f t="shared" si="0"/>
        <v>24.994199535962878</v>
      </c>
      <c r="G5" s="30">
        <v>30</v>
      </c>
      <c r="H5" s="31">
        <f t="shared" si="1"/>
        <v>66.84</v>
      </c>
      <c r="I5" s="119"/>
      <c r="K5" s="25"/>
    </row>
    <row r="6" spans="2:15" x14ac:dyDescent="0.3">
      <c r="B6" s="26" t="s">
        <v>214</v>
      </c>
      <c r="C6" s="27">
        <v>0.23480000000000001</v>
      </c>
      <c r="D6" s="28">
        <v>1</v>
      </c>
      <c r="E6" s="28">
        <v>40.950000000000003</v>
      </c>
      <c r="F6" s="29">
        <f t="shared" si="0"/>
        <v>23.752900232018565</v>
      </c>
      <c r="G6" s="30">
        <v>30</v>
      </c>
      <c r="H6" s="31">
        <f t="shared" si="1"/>
        <v>54.53</v>
      </c>
      <c r="I6" s="119"/>
      <c r="K6" s="25"/>
    </row>
    <row r="7" spans="2:15" x14ac:dyDescent="0.3">
      <c r="B7" s="26" t="s">
        <v>215</v>
      </c>
      <c r="C7" s="27">
        <v>0.22040000000000001</v>
      </c>
      <c r="D7" s="28">
        <v>1.1499999999999999</v>
      </c>
      <c r="E7" s="28">
        <v>40.130000000000003</v>
      </c>
      <c r="F7" s="29">
        <f t="shared" si="0"/>
        <v>23.277262180974478</v>
      </c>
      <c r="G7" s="30">
        <v>30</v>
      </c>
      <c r="H7" s="31">
        <f t="shared" si="1"/>
        <v>62.61</v>
      </c>
      <c r="I7" s="119"/>
      <c r="K7" s="25"/>
    </row>
    <row r="8" spans="2:15" x14ac:dyDescent="0.3">
      <c r="B8" s="26" t="s">
        <v>216</v>
      </c>
      <c r="C8" s="27">
        <v>0.21179999999999999</v>
      </c>
      <c r="D8" s="28">
        <v>0.9</v>
      </c>
      <c r="E8" s="28">
        <v>20.81</v>
      </c>
      <c r="F8" s="29">
        <f t="shared" si="0"/>
        <v>12.070765661252899</v>
      </c>
      <c r="G8" s="30">
        <v>30</v>
      </c>
      <c r="H8" s="31">
        <f t="shared" si="1"/>
        <v>25.69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217</v>
      </c>
      <c r="D10" s="91" t="s">
        <v>218</v>
      </c>
      <c r="E10" s="91" t="s">
        <v>34</v>
      </c>
      <c r="F10" s="91" t="s">
        <v>219</v>
      </c>
      <c r="G10" s="91" t="s">
        <v>96</v>
      </c>
      <c r="H10" s="91" t="s">
        <v>220</v>
      </c>
      <c r="I10" s="85" t="s">
        <v>98</v>
      </c>
    </row>
    <row r="11" spans="2:15" ht="14.4" customHeight="1" x14ac:dyDescent="0.3">
      <c r="B11" s="26" t="s">
        <v>221</v>
      </c>
      <c r="C11" s="27">
        <v>0.25359999999999999</v>
      </c>
      <c r="D11" s="28">
        <v>0.85</v>
      </c>
      <c r="E11" s="28">
        <v>12.38</v>
      </c>
      <c r="F11" s="29">
        <f t="shared" ref="F11:F16" si="2">E11/1.724</f>
        <v>7.1809744779582374</v>
      </c>
      <c r="G11" s="30">
        <v>30</v>
      </c>
      <c r="H11" s="31">
        <f>ROUND(F11*D11*G11*(1-C11)*0.1,2)</f>
        <v>13.67</v>
      </c>
      <c r="I11" s="118" t="s">
        <v>99</v>
      </c>
    </row>
    <row r="12" spans="2:15" x14ac:dyDescent="0.3">
      <c r="B12" s="26" t="s">
        <v>222</v>
      </c>
      <c r="C12" s="27">
        <v>0.22559999999999999</v>
      </c>
      <c r="D12" s="28">
        <v>1.01</v>
      </c>
      <c r="E12" s="28">
        <v>25.74</v>
      </c>
      <c r="F12" s="29">
        <f t="shared" si="2"/>
        <v>14.930394431554523</v>
      </c>
      <c r="G12" s="30">
        <v>30</v>
      </c>
      <c r="H12" s="31">
        <f t="shared" ref="H12:H16" si="3">ROUND(F12*D12*G12*(1-C12)*0.1,2)</f>
        <v>35.03</v>
      </c>
      <c r="I12" s="119"/>
    </row>
    <row r="13" spans="2:15" x14ac:dyDescent="0.3">
      <c r="B13" s="26" t="s">
        <v>223</v>
      </c>
      <c r="C13" s="27">
        <v>0.17910000000000001</v>
      </c>
      <c r="D13" s="26">
        <v>1.1100000000000001</v>
      </c>
      <c r="E13" s="26">
        <v>44.7</v>
      </c>
      <c r="F13" s="29">
        <f t="shared" si="2"/>
        <v>25.928074245939676</v>
      </c>
      <c r="G13" s="30">
        <v>30</v>
      </c>
      <c r="H13" s="31">
        <f t="shared" si="3"/>
        <v>70.88</v>
      </c>
      <c r="I13" s="119"/>
    </row>
    <row r="14" spans="2:15" x14ac:dyDescent="0.3">
      <c r="B14" s="26" t="s">
        <v>224</v>
      </c>
      <c r="C14" s="27">
        <v>0.28410000000000002</v>
      </c>
      <c r="D14" s="26">
        <v>1.07</v>
      </c>
      <c r="E14" s="26">
        <v>41.22</v>
      </c>
      <c r="F14" s="29">
        <f t="shared" si="2"/>
        <v>23.909512761020881</v>
      </c>
      <c r="G14" s="30">
        <v>30</v>
      </c>
      <c r="H14" s="31">
        <f t="shared" si="3"/>
        <v>54.94</v>
      </c>
      <c r="I14" s="119"/>
    </row>
    <row r="15" spans="2:15" x14ac:dyDescent="0.3">
      <c r="B15" s="26" t="s">
        <v>225</v>
      </c>
      <c r="C15" s="27">
        <v>0.21160000000000001</v>
      </c>
      <c r="D15" s="28">
        <v>1.1200000000000001</v>
      </c>
      <c r="E15" s="28">
        <v>45.9</v>
      </c>
      <c r="F15" s="29">
        <f t="shared" si="2"/>
        <v>26.624129930394432</v>
      </c>
      <c r="G15" s="30">
        <v>30</v>
      </c>
      <c r="H15" s="31">
        <f t="shared" si="3"/>
        <v>70.53</v>
      </c>
      <c r="I15" s="119"/>
    </row>
    <row r="16" spans="2:15" x14ac:dyDescent="0.3">
      <c r="B16" s="26" t="s">
        <v>226</v>
      </c>
      <c r="C16" s="27">
        <v>0.2286</v>
      </c>
      <c r="D16" s="26">
        <v>0.99</v>
      </c>
      <c r="E16" s="26">
        <v>21.13</v>
      </c>
      <c r="F16" s="29">
        <f t="shared" si="2"/>
        <v>12.256380510440835</v>
      </c>
      <c r="G16" s="30">
        <v>30</v>
      </c>
      <c r="H16" s="31">
        <f t="shared" si="3"/>
        <v>28.08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230</v>
      </c>
      <c r="C19" s="26" t="s">
        <v>145</v>
      </c>
      <c r="D19" s="89">
        <v>99.192299809999994</v>
      </c>
      <c r="E19" s="89">
        <v>39.162144410000003</v>
      </c>
      <c r="F19" s="90" t="s">
        <v>178</v>
      </c>
      <c r="G19" s="70">
        <f t="shared" ref="G19:G24" si="4">H11-H3</f>
        <v>0.74000000000000021</v>
      </c>
    </row>
    <row r="20" spans="2:7" x14ac:dyDescent="0.3">
      <c r="B20" s="26" t="s">
        <v>231</v>
      </c>
      <c r="C20" s="26" t="s">
        <v>146</v>
      </c>
      <c r="D20" s="89">
        <v>99.394420400000001</v>
      </c>
      <c r="E20" s="89">
        <v>39.237397780000002</v>
      </c>
      <c r="F20" s="90" t="s">
        <v>178</v>
      </c>
      <c r="G20" s="70">
        <f t="shared" si="4"/>
        <v>1.7000000000000028</v>
      </c>
    </row>
    <row r="21" spans="2:7" x14ac:dyDescent="0.3">
      <c r="B21" s="26" t="s">
        <v>232</v>
      </c>
      <c r="C21" s="26" t="s">
        <v>147</v>
      </c>
      <c r="D21" s="89">
        <v>99.279306349999999</v>
      </c>
      <c r="E21" s="89">
        <v>39.283017129999998</v>
      </c>
      <c r="F21" s="90" t="s">
        <v>178</v>
      </c>
      <c r="G21" s="70">
        <f t="shared" si="4"/>
        <v>4.039999999999992</v>
      </c>
    </row>
    <row r="22" spans="2:7" x14ac:dyDescent="0.3">
      <c r="B22" s="26" t="s">
        <v>233</v>
      </c>
      <c r="C22" s="26" t="s">
        <v>148</v>
      </c>
      <c r="D22" s="89">
        <v>99.748488890000004</v>
      </c>
      <c r="E22" s="89">
        <v>39.501608330000003</v>
      </c>
      <c r="F22" s="90" t="s">
        <v>178</v>
      </c>
      <c r="G22" s="70">
        <f t="shared" si="4"/>
        <v>0.40999999999999659</v>
      </c>
    </row>
    <row r="23" spans="2:7" x14ac:dyDescent="0.3">
      <c r="B23" s="26" t="s">
        <v>234</v>
      </c>
      <c r="C23" s="26" t="s">
        <v>149</v>
      </c>
      <c r="D23" s="89">
        <v>99.423279429999994</v>
      </c>
      <c r="E23" s="89">
        <v>39.058581480000001</v>
      </c>
      <c r="F23" s="90" t="s">
        <v>178</v>
      </c>
      <c r="G23" s="70">
        <f t="shared" si="4"/>
        <v>7.9200000000000017</v>
      </c>
    </row>
    <row r="24" spans="2:7" x14ac:dyDescent="0.3">
      <c r="B24" s="26" t="s">
        <v>235</v>
      </c>
      <c r="C24" s="26" t="s">
        <v>150</v>
      </c>
      <c r="D24" s="89">
        <v>99.375213759999994</v>
      </c>
      <c r="E24" s="89">
        <v>39.046647489999998</v>
      </c>
      <c r="F24" s="90" t="s">
        <v>178</v>
      </c>
      <c r="G24" s="70">
        <f t="shared" si="4"/>
        <v>2.389999999999997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2.87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2.5514418581569833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1.0416217768105307</v>
      </c>
    </row>
  </sheetData>
  <mergeCells count="2">
    <mergeCell ref="I11:I16"/>
    <mergeCell ref="I3:I8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3DE52-605E-45BF-A62D-6402D18B939D}">
  <dimension ref="B2:O27"/>
  <sheetViews>
    <sheetView workbookViewId="0">
      <selection activeCell="B2" sqref="B2:H8"/>
    </sheetView>
  </sheetViews>
  <sheetFormatPr defaultColWidth="8.9140625" defaultRowHeight="12.5" x14ac:dyDescent="0.3"/>
  <cols>
    <col min="1" max="1" width="1.33203125" style="32" customWidth="1"/>
    <col min="2" max="2" width="8.9140625" style="32"/>
    <col min="3" max="3" width="12.33203125" style="32" customWidth="1"/>
    <col min="4" max="4" width="20.08203125" style="32" customWidth="1"/>
    <col min="5" max="5" width="11.4140625" style="32" customWidth="1"/>
    <col min="6" max="6" width="17.75" style="32" customWidth="1"/>
    <col min="7" max="7" width="14.25" style="32" customWidth="1"/>
    <col min="8" max="8" width="15.6640625" style="32" customWidth="1"/>
    <col min="9" max="9" width="15.4140625" style="32" customWidth="1"/>
    <col min="10" max="10" width="10.08203125" style="32" customWidth="1"/>
    <col min="11" max="11" width="9.75" style="32" bestFit="1" customWidth="1"/>
    <col min="12" max="12" width="15.4140625" style="32" customWidth="1"/>
    <col min="13" max="13" width="17.4140625" style="32" customWidth="1"/>
    <col min="14" max="14" width="9" style="32" bestFit="1" customWidth="1"/>
    <col min="15" max="15" width="10" style="32" customWidth="1"/>
    <col min="16" max="16" width="8.9140625" style="32"/>
    <col min="17" max="17" width="13.25" style="32" customWidth="1"/>
    <col min="18" max="18" width="10.9140625" style="32" customWidth="1"/>
    <col min="19" max="16384" width="8.9140625" style="32"/>
  </cols>
  <sheetData>
    <row r="2" spans="2:15" s="25" customFormat="1" ht="16" x14ac:dyDescent="0.3">
      <c r="B2" s="91" t="s">
        <v>33</v>
      </c>
      <c r="C2" s="91" t="s">
        <v>236</v>
      </c>
      <c r="D2" s="91" t="s">
        <v>237</v>
      </c>
      <c r="E2" s="91" t="s">
        <v>34</v>
      </c>
      <c r="F2" s="91" t="s">
        <v>238</v>
      </c>
      <c r="G2" s="91" t="s">
        <v>96</v>
      </c>
      <c r="H2" s="91" t="s">
        <v>239</v>
      </c>
      <c r="I2" s="85" t="s">
        <v>98</v>
      </c>
    </row>
    <row r="3" spans="2:15" ht="13.25" customHeight="1" x14ac:dyDescent="0.3">
      <c r="B3" s="26" t="s">
        <v>240</v>
      </c>
      <c r="C3" s="27">
        <v>0.22370000000000001</v>
      </c>
      <c r="D3" s="28">
        <v>1.07</v>
      </c>
      <c r="E3" s="28">
        <v>20.78</v>
      </c>
      <c r="F3" s="29">
        <f>E3/1.724</f>
        <v>12.053364269141532</v>
      </c>
      <c r="G3" s="30">
        <v>30</v>
      </c>
      <c r="H3" s="31">
        <f>ROUND(F3*D3*G3*(1-C3)*0.1,2)</f>
        <v>30.04</v>
      </c>
      <c r="I3" s="118" t="s">
        <v>99</v>
      </c>
      <c r="K3" s="25"/>
    </row>
    <row r="4" spans="2:15" x14ac:dyDescent="0.3">
      <c r="B4" s="26" t="s">
        <v>241</v>
      </c>
      <c r="C4" s="27">
        <v>8.8400000000000006E-2</v>
      </c>
      <c r="D4" s="28">
        <v>0.99</v>
      </c>
      <c r="E4" s="28">
        <v>51.79</v>
      </c>
      <c r="F4" s="29">
        <f t="shared" ref="F4:F8" si="0">E4/1.724</f>
        <v>30.04060324825986</v>
      </c>
      <c r="G4" s="30">
        <v>30</v>
      </c>
      <c r="H4" s="31">
        <f t="shared" ref="H4:H8" si="1">ROUND(F4*D4*G4*(1-C4)*0.1,2)</f>
        <v>81.33</v>
      </c>
      <c r="I4" s="119"/>
      <c r="K4" s="25"/>
    </row>
    <row r="5" spans="2:15" x14ac:dyDescent="0.3">
      <c r="B5" s="26" t="s">
        <v>242</v>
      </c>
      <c r="C5" s="27">
        <v>0.19939999999999999</v>
      </c>
      <c r="D5" s="28">
        <v>0.84</v>
      </c>
      <c r="E5" s="28">
        <v>37.44</v>
      </c>
      <c r="F5" s="29">
        <f t="shared" si="0"/>
        <v>21.716937354988399</v>
      </c>
      <c r="G5" s="30">
        <v>30</v>
      </c>
      <c r="H5" s="31">
        <f t="shared" si="1"/>
        <v>43.81</v>
      </c>
      <c r="I5" s="119"/>
      <c r="K5" s="25"/>
    </row>
    <row r="6" spans="2:15" x14ac:dyDescent="0.3">
      <c r="B6" s="26" t="s">
        <v>243</v>
      </c>
      <c r="C6" s="27">
        <v>0.22800000000000001</v>
      </c>
      <c r="D6" s="28">
        <v>0.98</v>
      </c>
      <c r="E6" s="28">
        <v>26.46</v>
      </c>
      <c r="F6" s="29">
        <f t="shared" si="0"/>
        <v>15.348027842227379</v>
      </c>
      <c r="G6" s="30">
        <v>30</v>
      </c>
      <c r="H6" s="31">
        <f t="shared" si="1"/>
        <v>34.840000000000003</v>
      </c>
      <c r="I6" s="119"/>
      <c r="K6" s="25"/>
    </row>
    <row r="7" spans="2:15" x14ac:dyDescent="0.3">
      <c r="B7" s="26" t="s">
        <v>244</v>
      </c>
      <c r="C7" s="27">
        <v>0.1075</v>
      </c>
      <c r="D7" s="28">
        <v>0.84</v>
      </c>
      <c r="E7" s="28">
        <v>55.39</v>
      </c>
      <c r="F7" s="29">
        <f t="shared" si="0"/>
        <v>32.12877030162413</v>
      </c>
      <c r="G7" s="30">
        <v>30</v>
      </c>
      <c r="H7" s="31">
        <f t="shared" si="1"/>
        <v>72.260000000000005</v>
      </c>
      <c r="I7" s="119"/>
      <c r="K7" s="25"/>
    </row>
    <row r="8" spans="2:15" x14ac:dyDescent="0.3">
      <c r="B8" s="26" t="s">
        <v>245</v>
      </c>
      <c r="C8" s="27">
        <v>0.16139999999999999</v>
      </c>
      <c r="D8" s="28">
        <v>1.04</v>
      </c>
      <c r="E8" s="28">
        <v>32.92</v>
      </c>
      <c r="F8" s="29">
        <f t="shared" si="0"/>
        <v>19.095127610208817</v>
      </c>
      <c r="G8" s="30">
        <v>30</v>
      </c>
      <c r="H8" s="31">
        <f t="shared" si="1"/>
        <v>49.96</v>
      </c>
      <c r="I8" s="119"/>
      <c r="K8" s="25"/>
    </row>
    <row r="9" spans="2:15" ht="14" customHeight="1" x14ac:dyDescent="0.3">
      <c r="O9" s="33"/>
    </row>
    <row r="10" spans="2:15" ht="16" x14ac:dyDescent="0.3">
      <c r="B10" s="91" t="s">
        <v>33</v>
      </c>
      <c r="C10" s="91" t="s">
        <v>246</v>
      </c>
      <c r="D10" s="91" t="s">
        <v>247</v>
      </c>
      <c r="E10" s="91" t="s">
        <v>34</v>
      </c>
      <c r="F10" s="91" t="s">
        <v>248</v>
      </c>
      <c r="G10" s="91" t="s">
        <v>96</v>
      </c>
      <c r="H10" s="91" t="s">
        <v>249</v>
      </c>
      <c r="I10" s="85" t="s">
        <v>98</v>
      </c>
    </row>
    <row r="11" spans="2:15" ht="14.4" customHeight="1" x14ac:dyDescent="0.3">
      <c r="B11" s="26" t="s">
        <v>250</v>
      </c>
      <c r="C11" s="27">
        <v>0.21360000000000001</v>
      </c>
      <c r="D11" s="28">
        <v>1.06</v>
      </c>
      <c r="E11" s="28">
        <v>21.41</v>
      </c>
      <c r="F11" s="29">
        <f t="shared" ref="F11:F16" si="2">E11/1.724</f>
        <v>12.418793503480279</v>
      </c>
      <c r="G11" s="30">
        <v>30</v>
      </c>
      <c r="H11" s="31">
        <f>ROUND(F11*D11*30*(1-C11)*0.1,2)</f>
        <v>31.06</v>
      </c>
      <c r="I11" s="118" t="s">
        <v>99</v>
      </c>
    </row>
    <row r="12" spans="2:15" x14ac:dyDescent="0.3">
      <c r="B12" s="26" t="s">
        <v>251</v>
      </c>
      <c r="C12" s="27">
        <v>9.0800000000000006E-2</v>
      </c>
      <c r="D12" s="28">
        <v>1.01</v>
      </c>
      <c r="E12" s="28">
        <v>51.92</v>
      </c>
      <c r="F12" s="29">
        <f t="shared" si="2"/>
        <v>30.11600928074246</v>
      </c>
      <c r="G12" s="30">
        <v>30</v>
      </c>
      <c r="H12" s="31">
        <f t="shared" ref="H12:H16" si="3">ROUND(F12*D12*30*(1-C12)*0.1,2)</f>
        <v>82.97</v>
      </c>
      <c r="I12" s="119"/>
    </row>
    <row r="13" spans="2:15" x14ac:dyDescent="0.3">
      <c r="B13" s="26" t="s">
        <v>252</v>
      </c>
      <c r="C13" s="27">
        <v>0.183</v>
      </c>
      <c r="D13" s="26">
        <v>0.85</v>
      </c>
      <c r="E13" s="26">
        <v>38.590000000000003</v>
      </c>
      <c r="F13" s="29">
        <f t="shared" si="2"/>
        <v>22.383990719257543</v>
      </c>
      <c r="G13" s="30">
        <v>30</v>
      </c>
      <c r="H13" s="31">
        <f t="shared" si="3"/>
        <v>46.63</v>
      </c>
      <c r="I13" s="119"/>
    </row>
    <row r="14" spans="2:15" x14ac:dyDescent="0.3">
      <c r="B14" s="26" t="s">
        <v>253</v>
      </c>
      <c r="C14" s="27">
        <v>0.22209999999999999</v>
      </c>
      <c r="D14" s="26">
        <v>0.99</v>
      </c>
      <c r="E14" s="26">
        <v>28.66</v>
      </c>
      <c r="F14" s="29">
        <f t="shared" si="2"/>
        <v>16.624129930394432</v>
      </c>
      <c r="G14" s="30">
        <v>30</v>
      </c>
      <c r="H14" s="31">
        <f t="shared" si="3"/>
        <v>38.409999999999997</v>
      </c>
      <c r="I14" s="119"/>
    </row>
    <row r="15" spans="2:15" x14ac:dyDescent="0.3">
      <c r="B15" s="26" t="s">
        <v>254</v>
      </c>
      <c r="C15" s="27">
        <v>0.1358</v>
      </c>
      <c r="D15" s="28">
        <v>0.9</v>
      </c>
      <c r="E15" s="28">
        <v>57.26</v>
      </c>
      <c r="F15" s="29">
        <f t="shared" si="2"/>
        <v>33.213457076566122</v>
      </c>
      <c r="G15" s="30">
        <v>30</v>
      </c>
      <c r="H15" s="31">
        <f t="shared" si="3"/>
        <v>77.5</v>
      </c>
      <c r="I15" s="119"/>
    </row>
    <row r="16" spans="2:15" x14ac:dyDescent="0.3">
      <c r="B16" s="26" t="s">
        <v>255</v>
      </c>
      <c r="C16" s="27">
        <v>0.27050000000000002</v>
      </c>
      <c r="D16" s="26">
        <v>1.03</v>
      </c>
      <c r="E16" s="26">
        <v>41.2</v>
      </c>
      <c r="F16" s="29">
        <f t="shared" si="2"/>
        <v>23.897911832946637</v>
      </c>
      <c r="G16" s="30">
        <v>30</v>
      </c>
      <c r="H16" s="31">
        <f t="shared" si="3"/>
        <v>53.87</v>
      </c>
      <c r="I16" s="119"/>
    </row>
    <row r="18" spans="2:7" ht="15" x14ac:dyDescent="0.3">
      <c r="B18" s="47" t="s">
        <v>33</v>
      </c>
      <c r="C18" s="47" t="s">
        <v>37</v>
      </c>
      <c r="D18" s="79" t="s">
        <v>141</v>
      </c>
      <c r="E18" s="79" t="s">
        <v>142</v>
      </c>
      <c r="F18" s="79" t="s">
        <v>143</v>
      </c>
      <c r="G18" s="47" t="s">
        <v>144</v>
      </c>
    </row>
    <row r="19" spans="2:7" x14ac:dyDescent="0.3">
      <c r="B19" s="26" t="s">
        <v>256</v>
      </c>
      <c r="C19" s="26" t="s">
        <v>145</v>
      </c>
      <c r="D19" s="89">
        <v>99.191675239999995</v>
      </c>
      <c r="E19" s="89">
        <v>39.162400720000001</v>
      </c>
      <c r="F19" s="90" t="s">
        <v>257</v>
      </c>
      <c r="G19" s="70">
        <f t="shared" ref="G19:G24" si="4">H11-H3</f>
        <v>1.0199999999999996</v>
      </c>
    </row>
    <row r="20" spans="2:7" x14ac:dyDescent="0.3">
      <c r="B20" s="26" t="s">
        <v>258</v>
      </c>
      <c r="C20" s="26" t="s">
        <v>146</v>
      </c>
      <c r="D20" s="89">
        <v>99.334511710000001</v>
      </c>
      <c r="E20" s="89">
        <v>39.080775670000001</v>
      </c>
      <c r="F20" s="90" t="s">
        <v>257</v>
      </c>
      <c r="G20" s="70">
        <f t="shared" si="4"/>
        <v>1.6400000000000006</v>
      </c>
    </row>
    <row r="21" spans="2:7" x14ac:dyDescent="0.3">
      <c r="B21" s="26" t="s">
        <v>259</v>
      </c>
      <c r="C21" s="26" t="s">
        <v>147</v>
      </c>
      <c r="D21" s="89">
        <v>100.62313330000001</v>
      </c>
      <c r="E21" s="89">
        <v>38.737264719999999</v>
      </c>
      <c r="F21" s="90" t="s">
        <v>257</v>
      </c>
      <c r="G21" s="70">
        <f t="shared" si="4"/>
        <v>2.8200000000000003</v>
      </c>
    </row>
    <row r="22" spans="2:7" x14ac:dyDescent="0.3">
      <c r="B22" s="26" t="s">
        <v>260</v>
      </c>
      <c r="C22" s="26" t="s">
        <v>148</v>
      </c>
      <c r="D22" s="89">
        <v>100.52659439999999</v>
      </c>
      <c r="E22" s="89">
        <v>38.683633780000001</v>
      </c>
      <c r="F22" s="90" t="s">
        <v>257</v>
      </c>
      <c r="G22" s="70">
        <f t="shared" si="4"/>
        <v>3.5699999999999932</v>
      </c>
    </row>
    <row r="23" spans="2:7" x14ac:dyDescent="0.3">
      <c r="B23" s="26" t="s">
        <v>261</v>
      </c>
      <c r="C23" s="26" t="s">
        <v>149</v>
      </c>
      <c r="D23" s="89">
        <v>101.3375056</v>
      </c>
      <c r="E23" s="89">
        <v>38.703327780000002</v>
      </c>
      <c r="F23" s="90" t="s">
        <v>257</v>
      </c>
      <c r="G23" s="70">
        <f t="shared" si="4"/>
        <v>5.2399999999999949</v>
      </c>
    </row>
    <row r="24" spans="2:7" x14ac:dyDescent="0.3">
      <c r="B24" s="26" t="s">
        <v>262</v>
      </c>
      <c r="C24" s="26" t="s">
        <v>150</v>
      </c>
      <c r="D24" s="89">
        <v>101.3328917</v>
      </c>
      <c r="E24" s="89">
        <v>38.675408330000003</v>
      </c>
      <c r="F24" s="90" t="s">
        <v>257</v>
      </c>
      <c r="G24" s="70">
        <f t="shared" si="4"/>
        <v>3.9099999999999966</v>
      </c>
    </row>
    <row r="25" spans="2:7" ht="13" x14ac:dyDescent="0.3">
      <c r="B25" s="3"/>
      <c r="C25" s="73"/>
      <c r="D25" s="3"/>
      <c r="E25" s="3"/>
      <c r="F25" s="15" t="s">
        <v>151</v>
      </c>
      <c r="G25" s="74">
        <f>ROUND(AVERAGE(G19:G24),2)</f>
        <v>3.03</v>
      </c>
    </row>
    <row r="26" spans="2:7" ht="13" x14ac:dyDescent="0.3">
      <c r="B26" s="3"/>
      <c r="C26" s="73"/>
      <c r="D26" s="3"/>
      <c r="E26" s="3"/>
      <c r="F26" s="15" t="s">
        <v>152</v>
      </c>
      <c r="G26" s="74">
        <f>STDEVP(G19:G24)</f>
        <v>1.4122283416249946</v>
      </c>
    </row>
    <row r="27" spans="2:7" ht="13" x14ac:dyDescent="0.3">
      <c r="B27" s="3"/>
      <c r="C27" s="73"/>
      <c r="D27" s="3"/>
      <c r="E27" s="3"/>
      <c r="F27" s="15" t="s">
        <v>134</v>
      </c>
      <c r="G27" s="74">
        <f>G26/SQRT(COUNT(G19:G24))</f>
        <v>0.57653980621302037</v>
      </c>
    </row>
  </sheetData>
  <mergeCells count="2">
    <mergeCell ref="I3:I8"/>
    <mergeCell ref="I11:I16"/>
  </mergeCells>
  <phoneticPr fontId="2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C1F0F2D97C04690DF7AC407C65BA5" ma:contentTypeVersion="17" ma:contentTypeDescription="Create a new document." ma:contentTypeScope="" ma:versionID="943cb474adb21e697a753adce12a1c80">
  <xsd:schema xmlns:xsd="http://www.w3.org/2001/XMLSchema" xmlns:xs="http://www.w3.org/2001/XMLSchema" xmlns:p="http://schemas.microsoft.com/office/2006/metadata/properties" xmlns:ns2="5944c9fc-9421-4c39-b608-61ce31788618" xmlns:ns3="3ba820af-9c36-47fb-8383-9944acc4573c" targetNamespace="http://schemas.microsoft.com/office/2006/metadata/properties" ma:root="true" ma:fieldsID="37ce09a441ee91319e216af9ffa0720c" ns2:_="" ns3:_="">
    <xsd:import namespace="5944c9fc-9421-4c39-b608-61ce31788618"/>
    <xsd:import namespace="3ba820af-9c36-47fb-8383-9944acc45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c9fc-9421-4c39-b608-61ce31788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97863a-9c53-4d79-aa62-b4edf9878b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820af-9c36-47fb-8383-9944acc45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e236bb-6ba1-491a-998c-53c379aa7070}" ma:internalName="TaxCatchAll" ma:showField="CatchAllData" ma:web="3ba820af-9c36-47fb-8383-9944acc45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a820af-9c36-47fb-8383-9944acc4573c" xsi:nil="true"/>
    <lcf76f155ced4ddcb4097134ff3c332f xmlns="5944c9fc-9421-4c39-b608-61ce31788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B8332F-5A52-43A3-AE10-0A728DB55D4A}"/>
</file>

<file path=customXml/itemProps2.xml><?xml version="1.0" encoding="utf-8"?>
<ds:datastoreItem xmlns:ds="http://schemas.openxmlformats.org/officeDocument/2006/customXml" ds:itemID="{402292D0-E9E8-4C62-804A-B736B010D1A3}"/>
</file>

<file path=customXml/itemProps3.xml><?xml version="1.0" encoding="utf-8"?>
<ds:datastoreItem xmlns:ds="http://schemas.openxmlformats.org/officeDocument/2006/customXml" ds:itemID="{517F44A9-0405-4FC3-9AD5-CBC72F720C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ER Calculation</vt:lpstr>
      <vt:lpstr>Baseline Emission</vt:lpstr>
      <vt:lpstr>Project Emission</vt:lpstr>
      <vt:lpstr>Leakage Emission</vt:lpstr>
      <vt:lpstr>Project Removal</vt:lpstr>
      <vt:lpstr>strata1</vt:lpstr>
      <vt:lpstr>strata2</vt:lpstr>
      <vt:lpstr>strata3</vt:lpstr>
      <vt:lpstr>strata4</vt:lpstr>
      <vt:lpstr>strata5</vt:lpstr>
      <vt:lpstr>strata6</vt:lpstr>
      <vt:lpstr>Sheet7</vt:lpstr>
      <vt:lpstr>strata8</vt:lpstr>
      <vt:lpstr>strata14</vt:lpstr>
      <vt:lpstr>strata9</vt:lpstr>
      <vt:lpstr>strata10</vt:lpstr>
      <vt:lpstr>strata11</vt:lpstr>
      <vt:lpstr>strata12</vt:lpstr>
      <vt:lpstr>strata13</vt:lpstr>
      <vt:lpstr>strata15</vt:lpstr>
      <vt:lpstr>strata16</vt:lpstr>
      <vt:lpstr>strata17</vt:lpstr>
      <vt:lpstr>strata18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林茂</dc:creator>
  <cp:lastModifiedBy>123</cp:lastModifiedBy>
  <dcterms:created xsi:type="dcterms:W3CDTF">2015-06-05T18:19:34Z</dcterms:created>
  <dcterms:modified xsi:type="dcterms:W3CDTF">2022-09-28T02:15:14Z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0x010100CDDC1F0F2D97C04690DF7AC407C65BA5</vt:lpwstr>
  </property>
</Properties>
</file>